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s365-my.sharepoint.com/personal/marissa_krogmann_wels_net/Documents/Grants/Schwan/2024 Schwan - Requested Dec. 2023/"/>
    </mc:Choice>
  </mc:AlternateContent>
  <xr:revisionPtr revIDLastSave="56" documentId="8_{7D196D53-E66E-462B-A3DC-42993C613C06}" xr6:coauthVersionLast="47" xr6:coauthVersionMax="47" xr10:uidLastSave="{C5EDCB12-3B22-42A2-9210-AB05F683CBE6}"/>
  <bookViews>
    <workbookView xWindow="-110" yWindow="-110" windowWidth="19420" windowHeight="10420" activeTab="3" xr2:uid="{D6048D30-2D80-4458-8A42-C099AA4FEFD5}"/>
  </bookViews>
  <sheets>
    <sheet name="Mt. Horeb, WI" sheetId="2" r:id="rId1"/>
    <sheet name="Farmington, NM" sheetId="4" r:id="rId2"/>
    <sheet name="Firestone, CO" sheetId="1" r:id="rId3"/>
    <sheet name="Toronto, 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4" l="1"/>
  <c r="B39" i="4"/>
  <c r="B44" i="4" s="1"/>
  <c r="B45" i="4" s="1"/>
  <c r="B30" i="4"/>
  <c r="B28" i="4"/>
  <c r="B40" i="3"/>
  <c r="B38" i="3"/>
  <c r="B43" i="3" s="1"/>
  <c r="B44" i="3" s="1"/>
  <c r="B29" i="3"/>
  <c r="B27" i="3"/>
  <c r="B41" i="2"/>
  <c r="B39" i="2"/>
  <c r="B30" i="2"/>
  <c r="B28" i="2"/>
  <c r="B33" i="2" s="1"/>
  <c r="B34" i="2" s="1"/>
  <c r="B18" i="2"/>
  <c r="B21" i="2" s="1"/>
  <c r="C13" i="2"/>
  <c r="D13" i="2" s="1"/>
  <c r="M10" i="2"/>
  <c r="L10" i="2"/>
  <c r="K10" i="2"/>
  <c r="J10" i="2"/>
  <c r="I10" i="2"/>
  <c r="H10" i="2"/>
  <c r="G10" i="2"/>
  <c r="F10" i="2"/>
  <c r="E10" i="2"/>
  <c r="D10" i="2"/>
  <c r="C10" i="2"/>
  <c r="B10" i="2"/>
  <c r="B41" i="1"/>
  <c r="B39" i="1"/>
  <c r="B30" i="1"/>
  <c r="B28" i="1"/>
  <c r="B21" i="1"/>
  <c r="E20" i="1"/>
  <c r="F20" i="1" s="1"/>
  <c r="G20" i="1" s="1"/>
  <c r="B18" i="1"/>
  <c r="C13" i="1"/>
  <c r="C15" i="1" s="1"/>
  <c r="B10" i="1"/>
  <c r="C6" i="1"/>
  <c r="C10" i="1" s="1"/>
  <c r="B33" i="4" l="1"/>
  <c r="B34" i="4" s="1"/>
  <c r="B33" i="1"/>
  <c r="B34" i="1" s="1"/>
  <c r="B23" i="1"/>
  <c r="B44" i="1"/>
  <c r="B45" i="1" s="1"/>
  <c r="B44" i="2"/>
  <c r="B45" i="2" s="1"/>
  <c r="B32" i="3"/>
  <c r="B33" i="3" s="1"/>
  <c r="B23" i="2"/>
  <c r="E13" i="2"/>
  <c r="D15" i="2"/>
  <c r="D18" i="2" s="1"/>
  <c r="D21" i="2" s="1"/>
  <c r="D23" i="2" s="1"/>
  <c r="C15" i="2"/>
  <c r="C18" i="2" s="1"/>
  <c r="C21" i="2" s="1"/>
  <c r="C23" i="2" s="1"/>
  <c r="C18" i="1"/>
  <c r="C21" i="1" s="1"/>
  <c r="C23" i="1" s="1"/>
  <c r="D6" i="1"/>
  <c r="D13" i="1"/>
  <c r="E13" i="1" s="1"/>
  <c r="F13" i="1" s="1"/>
  <c r="G13" i="1" s="1"/>
  <c r="H13" i="1" s="1"/>
  <c r="I13" i="1" s="1"/>
  <c r="J13" i="1" s="1"/>
  <c r="K13" i="1" s="1"/>
  <c r="L13" i="1" s="1"/>
  <c r="M13" i="1" s="1"/>
  <c r="F13" i="2" l="1"/>
  <c r="E15" i="2"/>
  <c r="E18" i="2" s="1"/>
  <c r="E21" i="2" s="1"/>
  <c r="E23" i="2" s="1"/>
  <c r="D10" i="1"/>
  <c r="E6" i="1"/>
  <c r="D15" i="1"/>
  <c r="F15" i="2" l="1"/>
  <c r="F18" i="2" s="1"/>
  <c r="F21" i="2" s="1"/>
  <c r="F23" i="2" s="1"/>
  <c r="G13" i="2"/>
  <c r="D18" i="1"/>
  <c r="D21" i="1" s="1"/>
  <c r="D23" i="1" s="1"/>
  <c r="E15" i="1"/>
  <c r="E10" i="1"/>
  <c r="F6" i="1"/>
  <c r="G15" i="2" l="1"/>
  <c r="G18" i="2" s="1"/>
  <c r="G21" i="2" s="1"/>
  <c r="G23" i="2" s="1"/>
  <c r="H13" i="2"/>
  <c r="E18" i="1"/>
  <c r="E21" i="1" s="1"/>
  <c r="E23" i="1" s="1"/>
  <c r="F15" i="1"/>
  <c r="F10" i="1"/>
  <c r="G6" i="1"/>
  <c r="H15" i="2" l="1"/>
  <c r="H18" i="2" s="1"/>
  <c r="H21" i="2" s="1"/>
  <c r="H23" i="2" s="1"/>
  <c r="I13" i="2"/>
  <c r="G10" i="1"/>
  <c r="H6" i="1"/>
  <c r="F18" i="1"/>
  <c r="F21" i="1" s="1"/>
  <c r="F23" i="1" s="1"/>
  <c r="G15" i="1"/>
  <c r="I15" i="2" l="1"/>
  <c r="I18" i="2" s="1"/>
  <c r="I21" i="2" s="1"/>
  <c r="I23" i="2" s="1"/>
  <c r="J13" i="2"/>
  <c r="G18" i="1"/>
  <c r="G21" i="1" s="1"/>
  <c r="G23" i="1" s="1"/>
  <c r="H15" i="1"/>
  <c r="H10" i="1"/>
  <c r="I6" i="1"/>
  <c r="J15" i="2" l="1"/>
  <c r="J18" i="2" s="1"/>
  <c r="J21" i="2" s="1"/>
  <c r="J23" i="2" s="1"/>
  <c r="K13" i="2"/>
  <c r="I10" i="1"/>
  <c r="J6" i="1"/>
  <c r="H18" i="1"/>
  <c r="H21" i="1" s="1"/>
  <c r="H23" i="1" s="1"/>
  <c r="I15" i="1"/>
  <c r="L13" i="2" l="1"/>
  <c r="K15" i="2"/>
  <c r="K18" i="2" s="1"/>
  <c r="K21" i="2" s="1"/>
  <c r="K23" i="2" s="1"/>
  <c r="J15" i="1"/>
  <c r="I18" i="1"/>
  <c r="I21" i="1" s="1"/>
  <c r="I23" i="1" s="1"/>
  <c r="J10" i="1"/>
  <c r="K6" i="1"/>
  <c r="M13" i="2" l="1"/>
  <c r="M15" i="2" s="1"/>
  <c r="M18" i="2" s="1"/>
  <c r="M21" i="2" s="1"/>
  <c r="M23" i="2" s="1"/>
  <c r="N23" i="2" s="1"/>
  <c r="L15" i="2"/>
  <c r="L18" i="2" s="1"/>
  <c r="L21" i="2" s="1"/>
  <c r="L23" i="2" s="1"/>
  <c r="L6" i="1"/>
  <c r="K10" i="1"/>
  <c r="K15" i="1"/>
  <c r="J18" i="1"/>
  <c r="J21" i="1" s="1"/>
  <c r="J23" i="1" s="1"/>
  <c r="L15" i="1" l="1"/>
  <c r="K18" i="1"/>
  <c r="K21" i="1" s="1"/>
  <c r="K23" i="1" s="1"/>
  <c r="M6" i="1"/>
  <c r="M10" i="1" s="1"/>
  <c r="L10" i="1"/>
  <c r="L18" i="1" l="1"/>
  <c r="L21" i="1" s="1"/>
  <c r="L23" i="1" s="1"/>
  <c r="M15" i="1"/>
  <c r="M18" i="1" s="1"/>
  <c r="M21" i="1" s="1"/>
  <c r="M23" i="1" s="1"/>
  <c r="N23" i="1" s="1"/>
</calcChain>
</file>

<file path=xl/sharedStrings.xml><?xml version="1.0" encoding="utf-8"?>
<sst xmlns="http://schemas.openxmlformats.org/spreadsheetml/2006/main" count="272" uniqueCount="70">
  <si>
    <t>Carbon Valley Lutheran Church - Firestone, CO</t>
  </si>
  <si>
    <t>Shaded boxes are calculated</t>
  </si>
  <si>
    <t>Year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</si>
  <si>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</si>
  <si>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</si>
  <si>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</si>
  <si>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</si>
  <si>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</si>
  <si>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</si>
  <si>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</si>
  <si>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</si>
  <si>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</si>
  <si>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</si>
  <si>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</si>
  <si>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</si>
  <si>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Operating Expense Increase</t>
  </si>
  <si>
    <t>Operating Expense</t>
  </si>
  <si>
    <t>Worship Lease</t>
  </si>
  <si>
    <t>Land Mortgage Expense</t>
  </si>
  <si>
    <t>Building Mortgage Expense</t>
  </si>
  <si>
    <t>Total Operating Expense</t>
  </si>
  <si>
    <t>Growth Factor</t>
  </si>
  <si>
    <t>Attendance</t>
  </si>
  <si>
    <t>Family Factor</t>
  </si>
  <si>
    <t>Total Giving units</t>
  </si>
  <si>
    <t>Giving/unit/year</t>
  </si>
  <si>
    <t>Worship Factor</t>
  </si>
  <si>
    <t>Offerings</t>
  </si>
  <si>
    <t>Additional Income</t>
  </si>
  <si>
    <t>Special Gifts</t>
  </si>
  <si>
    <t>Total Offerings and Gifts</t>
  </si>
  <si>
    <t>Subsidy Needed</t>
  </si>
  <si>
    <t>Land Mortgage Calculation</t>
  </si>
  <si>
    <t>Definitions/Assumptions</t>
  </si>
  <si>
    <t>Purchase Price (5 acres)</t>
  </si>
  <si>
    <t>cost of 5 acres used to calculate grant</t>
  </si>
  <si>
    <r>
      <rPr>
        <b/>
        <sz val="12"/>
        <color theme="1"/>
        <rFont val="Calibri"/>
        <family val="2"/>
        <scheme val="minor"/>
      </rPr>
      <t>Growth Factor</t>
    </r>
    <r>
      <rPr>
        <sz val="12"/>
        <color theme="1"/>
        <rFont val="Calibri"/>
        <family val="2"/>
        <scheme val="minor"/>
      </rPr>
      <t xml:space="preserve"> is the attendance growth from the previous year</t>
    </r>
  </si>
  <si>
    <t>Other acreage</t>
  </si>
  <si>
    <t>additional acreage cost above 5 acres</t>
  </si>
  <si>
    <r>
      <t xml:space="preserve">For each year after the </t>
    </r>
    <r>
      <rPr>
        <b/>
        <sz val="12"/>
        <color theme="1"/>
        <rFont val="Calibri"/>
        <family val="2"/>
        <scheme val="minor"/>
      </rPr>
      <t>Next FY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Family Factor</t>
    </r>
    <r>
      <rPr>
        <sz val="12"/>
        <color theme="1"/>
        <rFont val="Calibri"/>
        <family val="2"/>
        <scheme val="minor"/>
      </rPr>
      <t xml:space="preserve"> is divided into the change in attendance to calculate the increase in </t>
    </r>
    <r>
      <rPr>
        <b/>
        <sz val="12"/>
        <color theme="1"/>
        <rFont val="Calibri"/>
        <family val="2"/>
        <scheme val="minor"/>
      </rPr>
      <t>Giving Units</t>
    </r>
  </si>
  <si>
    <t>Minimum Down Payment</t>
  </si>
  <si>
    <t>minimum of 10% of total acreage cost</t>
  </si>
  <si>
    <t>Additional Down Payment</t>
  </si>
  <si>
    <r>
      <rPr>
        <b/>
        <sz val="12"/>
        <color theme="1"/>
        <rFont val="Calibri"/>
        <family val="2"/>
        <scheme val="minor"/>
      </rPr>
      <t>Offerings</t>
    </r>
    <r>
      <rPr>
        <sz val="12"/>
        <color theme="1"/>
        <rFont val="Calibri"/>
        <family val="2"/>
        <scheme val="minor"/>
      </rPr>
      <t xml:space="preserve"> are calculated by adding the previous </t>
    </r>
    <r>
      <rPr>
        <b/>
        <sz val="12"/>
        <color theme="1"/>
        <rFont val="Calibri"/>
        <family val="2"/>
        <scheme val="minor"/>
      </rPr>
      <t>FY Offerings</t>
    </r>
    <r>
      <rPr>
        <sz val="12"/>
        <color theme="1"/>
        <rFont val="Calibri"/>
        <family val="2"/>
        <scheme val="minor"/>
      </rPr>
      <t xml:space="preserve"> to the increase in </t>
    </r>
    <r>
      <rPr>
        <b/>
        <sz val="12"/>
        <color theme="1"/>
        <rFont val="Calibri"/>
        <family val="2"/>
        <scheme val="minor"/>
      </rPr>
      <t>Giving Units x Giving/unit/year</t>
    </r>
    <r>
      <rPr>
        <sz val="12"/>
        <color theme="1"/>
        <rFont val="Calibri"/>
        <family val="2"/>
        <scheme val="minor"/>
      </rPr>
      <t xml:space="preserve">. </t>
    </r>
  </si>
  <si>
    <t>Grant</t>
  </si>
  <si>
    <t>4:1 match of 10% down payment of first 5 acres</t>
  </si>
  <si>
    <t>Interest Rate</t>
  </si>
  <si>
    <r>
      <rPr>
        <b/>
        <sz val="12"/>
        <color theme="1"/>
        <rFont val="Calibri"/>
        <family val="2"/>
        <scheme val="minor"/>
      </rPr>
      <t>Worship Factor</t>
    </r>
    <r>
      <rPr>
        <sz val="12"/>
        <color theme="1"/>
        <rFont val="Calibri"/>
        <family val="2"/>
        <scheme val="minor"/>
      </rPr>
      <t xml:space="preserve"> is the percentage of the year worship services are held</t>
    </r>
  </si>
  <si>
    <t>Term (years)</t>
  </si>
  <si>
    <t>Password is sean</t>
  </si>
  <si>
    <t>Mortgage</t>
  </si>
  <si>
    <t>Annual Mortgage Payment</t>
  </si>
  <si>
    <t>Building Mortgage Calculation</t>
  </si>
  <si>
    <t>Construction Cost</t>
  </si>
  <si>
    <t>cost of first 7,500 sq ft</t>
  </si>
  <si>
    <t>Additional Square Feet</t>
  </si>
  <si>
    <t>additional building cost above 7,500 sq ft</t>
  </si>
  <si>
    <t>minimum of 10% of construction cost</t>
  </si>
  <si>
    <t>2:1 match of 10% down payment</t>
  </si>
  <si>
    <r>
      <rPr>
        <b/>
        <sz val="12"/>
        <color theme="1"/>
        <rFont val="Calibri"/>
        <family val="2"/>
        <scheme val="minor"/>
      </rPr>
      <t xml:space="preserve">Line #1 Operating Expense Increase </t>
    </r>
    <r>
      <rPr>
        <sz val="12"/>
        <color theme="1"/>
        <rFont val="Calibri"/>
        <family val="2"/>
        <scheme val="minor"/>
      </rPr>
      <t xml:space="preserve">- Estimated increase in expenses.  </t>
    </r>
  </si>
  <si>
    <r>
      <rPr>
        <b/>
        <sz val="12"/>
        <color theme="1"/>
        <rFont val="Calibri"/>
        <family val="2"/>
        <scheme val="minor"/>
      </rPr>
      <t>Line #2 Operating Expense</t>
    </r>
    <r>
      <rPr>
        <sz val="12"/>
        <color theme="1"/>
        <rFont val="Calibri"/>
        <family val="2"/>
        <scheme val="minor"/>
      </rPr>
      <t xml:space="preserve"> - Operating expenses minus lease and mortgage expenses.  The first three years should come from the budget spreadsheet. Overwrite the formulas in column D &amp; E.</t>
    </r>
  </si>
  <si>
    <r>
      <rPr>
        <b/>
        <sz val="12"/>
        <color theme="1"/>
        <rFont val="Calibri"/>
        <family val="2"/>
        <scheme val="minor"/>
      </rPr>
      <t>Line #8 Growth Factor</t>
    </r>
    <r>
      <rPr>
        <sz val="12"/>
        <color theme="1"/>
        <rFont val="Calibri"/>
        <family val="2"/>
        <scheme val="minor"/>
      </rPr>
      <t xml:space="preserve"> - Estimated attendance growth.  Once a mission has a permanent building, it is not uncommon to see 30-35% growth.</t>
    </r>
  </si>
  <si>
    <r>
      <rPr>
        <b/>
        <sz val="12"/>
        <color theme="1"/>
        <rFont val="Calibri"/>
        <family val="2"/>
        <scheme val="minor"/>
      </rPr>
      <t>Line # 10 Family Factor</t>
    </r>
    <r>
      <rPr>
        <sz val="12"/>
        <color theme="1"/>
        <rFont val="Calibri"/>
        <family val="2"/>
        <scheme val="minor"/>
      </rPr>
      <t xml:space="preserve"> - This number is divided into the attendance to get an estimate of the </t>
    </r>
    <r>
      <rPr>
        <b/>
        <sz val="12"/>
        <color theme="1"/>
        <rFont val="Calibri"/>
        <family val="2"/>
        <scheme val="minor"/>
      </rPr>
      <t>Total Giving Units.</t>
    </r>
  </si>
  <si>
    <r>
      <rPr>
        <b/>
        <sz val="12"/>
        <color theme="1"/>
        <rFont val="Calibri"/>
        <family val="2"/>
        <scheme val="minor"/>
      </rPr>
      <t>Line #12 Giving/unit/year</t>
    </r>
    <r>
      <rPr>
        <sz val="12"/>
        <color theme="1"/>
        <rFont val="Calibri"/>
        <family val="2"/>
        <scheme val="minor"/>
      </rPr>
      <t xml:space="preserve"> - Estimates the average annual giving by each giving unit.  This amount is used in the </t>
    </r>
    <r>
      <rPr>
        <b/>
        <sz val="12"/>
        <color theme="1"/>
        <rFont val="Calibri"/>
        <family val="2"/>
        <scheme val="minor"/>
      </rPr>
      <t>Offerings</t>
    </r>
    <r>
      <rPr>
        <sz val="12"/>
        <color theme="1"/>
        <rFont val="Calibri"/>
        <family val="2"/>
        <scheme val="minor"/>
      </rPr>
      <t xml:space="preserve"> calculation.</t>
    </r>
  </si>
  <si>
    <r>
      <rPr>
        <b/>
        <sz val="12"/>
        <color theme="1"/>
        <rFont val="Calibri"/>
        <family val="2"/>
        <scheme val="minor"/>
      </rPr>
      <t>Line 13 Worship Factor</t>
    </r>
    <r>
      <rPr>
        <sz val="12"/>
        <color theme="1"/>
        <rFont val="Calibri"/>
        <family val="2"/>
        <scheme val="minor"/>
      </rPr>
      <t xml:space="preserve"> - The percentage of the year that offerings will be collected.  Usually, this is less than 100% for the missions first year.</t>
    </r>
  </si>
  <si>
    <r>
      <rPr>
        <b/>
        <sz val="12"/>
        <color theme="1"/>
        <rFont val="Calibri"/>
        <family val="2"/>
        <scheme val="minor"/>
      </rPr>
      <t>Line #17 Total Offerings and Gifts</t>
    </r>
    <r>
      <rPr>
        <sz val="12"/>
        <color theme="1"/>
        <rFont val="Calibri"/>
        <family val="2"/>
        <scheme val="minor"/>
      </rPr>
      <t xml:space="preserve"> - This amount should match the Budget spreadsheet for the first 3 years.  To get an exact match, divide the Total Offerings and Gifts from the budget spreadsheet by the number of giving units. Enter this number into </t>
    </r>
    <r>
      <rPr>
        <b/>
        <sz val="12"/>
        <color theme="1"/>
        <rFont val="Calibri"/>
        <family val="2"/>
        <scheme val="minor"/>
      </rPr>
      <t>Line #12 Giving/unit/year</t>
    </r>
    <r>
      <rPr>
        <sz val="12"/>
        <color theme="1"/>
        <rFont val="Calibri"/>
        <family val="2"/>
        <scheme val="minor"/>
      </rPr>
      <t xml:space="preserve"> and check to see it is reasonable.</t>
    </r>
  </si>
  <si>
    <t/>
  </si>
  <si>
    <t>Hope Lutheran Church - Toronto, ON</t>
  </si>
  <si>
    <t>Christ the Rock Lutheran Church - Farmington, NM</t>
  </si>
  <si>
    <t>Good News Lutheran Church - Mt. Horeb,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</si>
</sst>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9" fillId="0" borderId="0"/>
  </cellStyleXfs>
  <cellXfs count="55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9" fontId="2" fillId="0" borderId="1" xfId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9" fontId="2" fillId="0" borderId="1" xfId="1" applyFont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 applyProtection="1">
      <alignment vertical="center"/>
      <protection locked="0"/>
    </xf>
    <xf numFmtId="6" fontId="2" fillId="0" borderId="1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vertical="center"/>
      <protection locked="0"/>
    </xf>
    <xf numFmtId="6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6" fontId="4" fillId="2" borderId="1" xfId="0" applyNumberFormat="1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40" fontId="9" fillId="0" borderId="0" xfId="2" applyNumberFormat="1" applyProtection="1">
      <protection locked="0"/>
    </xf>
    <xf numFmtId="0" fontId="4" fillId="4" borderId="1" xfId="0" applyFont="1" applyFill="1" applyBorder="1" applyProtection="1">
      <protection locked="0"/>
    </xf>
    <xf numFmtId="6" fontId="4" fillId="4" borderId="1" xfId="0" applyNumberFormat="1" applyFont="1" applyFill="1" applyBorder="1" applyAlignment="1">
      <alignment vertical="center"/>
    </xf>
    <xf numFmtId="6" fontId="4" fillId="4" borderId="0" xfId="0" applyNumberFormat="1" applyFont="1" applyFill="1" applyProtection="1">
      <protection locked="0"/>
    </xf>
    <xf numFmtId="0" fontId="2" fillId="4" borderId="0" xfId="0" applyFont="1" applyFill="1"/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</cellXfs>
  <cellStyles count="3">
    <cellStyle name="Normal" xfId="0" builtinId="0"/>
    <cellStyle name="Normal_new home dad" xfId="2" xr:uid="{3F689363-6F93-4B07-97E5-944B2CB438B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A1BF-BC78-4D08-9788-0144AB7F79CA}">
  <dimension ref="A1:N45"/>
  <sheetViews>
    <sheetView workbookViewId="0">
      <selection activeCell="B3" sqref="B1:B1048576"/>
    </sheetView>
  </sheetViews>
  <sheetFormatPr defaultColWidth="9.1796875" defaultRowHeight="15.5" x14ac:dyDescent="0.35"/>
  <cols>
    <col min="1" max="1" width="27.453125" style="2" customWidth="1"/>
    <col min="2" max="3" width="11.7265625" style="2" customWidth="1"/>
    <col min="4" max="4" width="12.453125" style="2" customWidth="1"/>
    <col min="5" max="5" width="13.81640625" style="2" customWidth="1"/>
    <col min="6" max="6" width="14.453125" style="2" customWidth="1"/>
    <col min="7" max="14" width="12" style="2" customWidth="1"/>
    <col min="15" max="16384" width="9.1796875" style="3"/>
  </cols>
  <sheetData>
    <row r="1" spans="1:13" x14ac:dyDescent="0.3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3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x14ac:dyDescent="0.35">
      <c r="A5" s="9" t="s">
        <v>15</v>
      </c>
      <c r="B5" s="10"/>
      <c r="C5" s="10">
        <v>1.03</v>
      </c>
      <c r="D5" s="10">
        <v>1.03</v>
      </c>
      <c r="E5" s="10">
        <v>1.03</v>
      </c>
      <c r="F5" s="10">
        <v>1.03</v>
      </c>
      <c r="G5" s="10">
        <v>1.03</v>
      </c>
      <c r="H5" s="10">
        <v>1.03</v>
      </c>
      <c r="I5" s="10">
        <v>1.03</v>
      </c>
      <c r="J5" s="10">
        <v>1.03</v>
      </c>
      <c r="K5" s="10">
        <v>1.03</v>
      </c>
      <c r="L5" s="10">
        <v>1.03</v>
      </c>
      <c r="M5" s="10">
        <v>1.03</v>
      </c>
    </row>
    <row r="6" spans="1:13" x14ac:dyDescent="0.35">
      <c r="A6" s="9" t="s">
        <v>16</v>
      </c>
      <c r="B6" s="11">
        <v>218756</v>
      </c>
      <c r="C6" s="12">
        <v>228803</v>
      </c>
      <c r="D6" s="12">
        <v>240057</v>
      </c>
      <c r="E6" s="12">
        <v>250726</v>
      </c>
      <c r="F6" s="12">
        <v>246014.13293590868</v>
      </c>
      <c r="G6" s="12">
        <v>254104.96757440118</v>
      </c>
      <c r="H6" s="12">
        <v>262524.55845856701</v>
      </c>
      <c r="I6" s="12">
        <v>276705.73450234032</v>
      </c>
      <c r="J6" s="12">
        <v>286059.80835825799</v>
      </c>
      <c r="K6" s="12">
        <v>296369.17462015001</v>
      </c>
      <c r="L6" s="12">
        <v>305095.43142088212</v>
      </c>
      <c r="M6" s="12">
        <v>321456.5552068908</v>
      </c>
    </row>
    <row r="7" spans="1:13" x14ac:dyDescent="0.35">
      <c r="A7" s="9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5">
      <c r="A8" s="9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35">
      <c r="A9" s="9" t="s">
        <v>19</v>
      </c>
      <c r="B9" s="11">
        <v>168816</v>
      </c>
      <c r="C9" s="11">
        <v>168816</v>
      </c>
      <c r="D9" s="11">
        <v>168816</v>
      </c>
      <c r="E9" s="11">
        <v>168816</v>
      </c>
      <c r="F9" s="11">
        <v>180000</v>
      </c>
      <c r="G9" s="11">
        <v>180000</v>
      </c>
      <c r="H9" s="11">
        <v>180000</v>
      </c>
      <c r="I9" s="11">
        <v>180000</v>
      </c>
      <c r="J9" s="11">
        <v>180000</v>
      </c>
      <c r="K9" s="11">
        <v>180000</v>
      </c>
      <c r="L9" s="11">
        <v>180000</v>
      </c>
      <c r="M9" s="11">
        <v>180000</v>
      </c>
    </row>
    <row r="10" spans="1:13" x14ac:dyDescent="0.35">
      <c r="A10" s="6" t="s">
        <v>20</v>
      </c>
      <c r="B10" s="14">
        <f>SUM(B6:B9)</f>
        <v>387572</v>
      </c>
      <c r="C10" s="14">
        <f t="shared" ref="C10:M10" si="0">SUM(C6:C9)</f>
        <v>397619</v>
      </c>
      <c r="D10" s="14">
        <f t="shared" si="0"/>
        <v>408873</v>
      </c>
      <c r="E10" s="14">
        <f t="shared" si="0"/>
        <v>419542</v>
      </c>
      <c r="F10" s="14">
        <f t="shared" si="0"/>
        <v>426014.13293590868</v>
      </c>
      <c r="G10" s="14">
        <f t="shared" si="0"/>
        <v>434104.96757440118</v>
      </c>
      <c r="H10" s="14">
        <f t="shared" si="0"/>
        <v>442524.55845856701</v>
      </c>
      <c r="I10" s="14">
        <f t="shared" si="0"/>
        <v>456705.73450234032</v>
      </c>
      <c r="J10" s="14">
        <f t="shared" si="0"/>
        <v>466059.80835825799</v>
      </c>
      <c r="K10" s="14">
        <f t="shared" si="0"/>
        <v>476369.17462015001</v>
      </c>
      <c r="L10" s="14">
        <f t="shared" si="0"/>
        <v>485095.43142088212</v>
      </c>
      <c r="M10" s="14">
        <f t="shared" si="0"/>
        <v>501456.5552068908</v>
      </c>
    </row>
    <row r="11" spans="1:13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35">
      <c r="A12" s="9" t="s">
        <v>21</v>
      </c>
      <c r="B12" s="16"/>
      <c r="C12" s="17">
        <v>0.12</v>
      </c>
      <c r="D12" s="17">
        <v>0.12</v>
      </c>
      <c r="E12" s="17">
        <v>0.11</v>
      </c>
      <c r="F12" s="17">
        <v>0.11</v>
      </c>
      <c r="G12" s="17">
        <v>0.11</v>
      </c>
      <c r="H12" s="17">
        <v>0.1</v>
      </c>
      <c r="I12" s="17">
        <v>0.1</v>
      </c>
      <c r="J12" s="17">
        <v>0.1</v>
      </c>
      <c r="K12" s="17">
        <v>7.0000000000000007E-2</v>
      </c>
      <c r="L12" s="17">
        <v>7.0000000000000007E-2</v>
      </c>
      <c r="M12" s="17">
        <v>7.0000000000000007E-2</v>
      </c>
    </row>
    <row r="13" spans="1:13" x14ac:dyDescent="0.35">
      <c r="A13" s="9" t="s">
        <v>22</v>
      </c>
      <c r="B13" s="16">
        <v>105</v>
      </c>
      <c r="C13" s="18">
        <f>ROUND(B13*C12+B13,0)</f>
        <v>118</v>
      </c>
      <c r="D13" s="18">
        <f t="shared" ref="D13:M13" si="1">ROUND(C13*D12+C13,0)</f>
        <v>132</v>
      </c>
      <c r="E13" s="18">
        <f t="shared" si="1"/>
        <v>147</v>
      </c>
      <c r="F13" s="18">
        <f t="shared" si="1"/>
        <v>163</v>
      </c>
      <c r="G13" s="18">
        <f t="shared" si="1"/>
        <v>181</v>
      </c>
      <c r="H13" s="18">
        <f t="shared" si="1"/>
        <v>199</v>
      </c>
      <c r="I13" s="18">
        <f t="shared" si="1"/>
        <v>219</v>
      </c>
      <c r="J13" s="18">
        <f t="shared" si="1"/>
        <v>241</v>
      </c>
      <c r="K13" s="18">
        <f t="shared" si="1"/>
        <v>258</v>
      </c>
      <c r="L13" s="18">
        <f t="shared" si="1"/>
        <v>276</v>
      </c>
      <c r="M13" s="18">
        <f t="shared" si="1"/>
        <v>295</v>
      </c>
    </row>
    <row r="14" spans="1:13" x14ac:dyDescent="0.35">
      <c r="A14" s="9" t="s">
        <v>23</v>
      </c>
      <c r="B14" s="16"/>
      <c r="C14" s="16">
        <v>1.8</v>
      </c>
      <c r="D14" s="16">
        <v>1.8</v>
      </c>
      <c r="E14" s="16">
        <v>1.8</v>
      </c>
      <c r="F14" s="16">
        <v>1.8</v>
      </c>
      <c r="G14" s="16">
        <v>1.8</v>
      </c>
      <c r="H14" s="16">
        <v>1.8</v>
      </c>
      <c r="I14" s="16">
        <v>1.8</v>
      </c>
      <c r="J14" s="16">
        <v>1.8</v>
      </c>
      <c r="K14" s="16">
        <v>2</v>
      </c>
      <c r="L14" s="16">
        <v>2</v>
      </c>
      <c r="M14" s="16">
        <v>2</v>
      </c>
    </row>
    <row r="15" spans="1:13" x14ac:dyDescent="0.35">
      <c r="A15" s="9" t="s">
        <v>24</v>
      </c>
      <c r="B15" s="19">
        <v>58</v>
      </c>
      <c r="C15" s="18">
        <f>C13/C14</f>
        <v>65.555555555555557</v>
      </c>
      <c r="D15" s="18">
        <f t="shared" ref="D15:M15" si="2">D13/D14</f>
        <v>73.333333333333329</v>
      </c>
      <c r="E15" s="18">
        <f t="shared" si="2"/>
        <v>81.666666666666671</v>
      </c>
      <c r="F15" s="18">
        <f t="shared" si="2"/>
        <v>90.555555555555557</v>
      </c>
      <c r="G15" s="18">
        <f t="shared" si="2"/>
        <v>100.55555555555556</v>
      </c>
      <c r="H15" s="18">
        <f t="shared" si="2"/>
        <v>110.55555555555556</v>
      </c>
      <c r="I15" s="18">
        <f t="shared" si="2"/>
        <v>121.66666666666666</v>
      </c>
      <c r="J15" s="18">
        <f t="shared" si="2"/>
        <v>133.88888888888889</v>
      </c>
      <c r="K15" s="18">
        <f t="shared" si="2"/>
        <v>129</v>
      </c>
      <c r="L15" s="18">
        <f t="shared" si="2"/>
        <v>138</v>
      </c>
      <c r="M15" s="18">
        <f t="shared" si="2"/>
        <v>147.5</v>
      </c>
    </row>
    <row r="16" spans="1:13" x14ac:dyDescent="0.35">
      <c r="A16" s="9" t="s">
        <v>25</v>
      </c>
      <c r="B16" s="20">
        <v>4250</v>
      </c>
      <c r="C16" s="20">
        <v>4250</v>
      </c>
      <c r="D16" s="20">
        <v>4250</v>
      </c>
      <c r="E16" s="20">
        <v>4250</v>
      </c>
      <c r="F16" s="20">
        <v>4000</v>
      </c>
      <c r="G16" s="20">
        <v>4000</v>
      </c>
      <c r="H16" s="20">
        <v>4000</v>
      </c>
      <c r="I16" s="20">
        <v>4000</v>
      </c>
      <c r="J16" s="20">
        <v>4000</v>
      </c>
      <c r="K16" s="20">
        <v>4000</v>
      </c>
      <c r="L16" s="20">
        <v>4000</v>
      </c>
      <c r="M16" s="20">
        <v>4000</v>
      </c>
    </row>
    <row r="17" spans="1:14" x14ac:dyDescent="0.35">
      <c r="A17" s="9" t="s">
        <v>26</v>
      </c>
      <c r="B17" s="21">
        <v>1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</row>
    <row r="18" spans="1:14" x14ac:dyDescent="0.35">
      <c r="A18" s="9" t="s">
        <v>27</v>
      </c>
      <c r="B18" s="22">
        <f>B16*B15*B17</f>
        <v>246500</v>
      </c>
      <c r="C18" s="23">
        <f>C15*C16*C17</f>
        <v>278611.11111111112</v>
      </c>
      <c r="D18" s="23">
        <f t="shared" ref="D18:M18" si="3">D15*D16*D17</f>
        <v>311666.66666666663</v>
      </c>
      <c r="E18" s="23">
        <f t="shared" si="3"/>
        <v>347083.33333333337</v>
      </c>
      <c r="F18" s="23">
        <f t="shared" si="3"/>
        <v>362222.22222222225</v>
      </c>
      <c r="G18" s="23">
        <f t="shared" si="3"/>
        <v>402222.22222222225</v>
      </c>
      <c r="H18" s="23">
        <f t="shared" si="3"/>
        <v>442222.22222222225</v>
      </c>
      <c r="I18" s="23">
        <f t="shared" si="3"/>
        <v>486666.66666666663</v>
      </c>
      <c r="J18" s="23">
        <f t="shared" si="3"/>
        <v>535555.5555555555</v>
      </c>
      <c r="K18" s="23">
        <f t="shared" si="3"/>
        <v>516000</v>
      </c>
      <c r="L18" s="23">
        <f t="shared" si="3"/>
        <v>552000</v>
      </c>
      <c r="M18" s="23">
        <f t="shared" si="3"/>
        <v>590000</v>
      </c>
    </row>
    <row r="19" spans="1:14" x14ac:dyDescent="0.35">
      <c r="A19" s="9" t="s">
        <v>28</v>
      </c>
      <c r="B19" s="2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4" x14ac:dyDescent="0.35">
      <c r="A20" s="9" t="s">
        <v>29</v>
      </c>
      <c r="B20" s="11">
        <v>94597.063853453612</v>
      </c>
      <c r="C20" s="11">
        <v>82063.882365713944</v>
      </c>
      <c r="D20" s="11">
        <v>72716.705432453251</v>
      </c>
      <c r="E20" s="11">
        <v>58687.801437887538</v>
      </c>
      <c r="F20" s="11">
        <v>59260.328630468925</v>
      </c>
      <c r="G20" s="11">
        <v>33851.428928168025</v>
      </c>
      <c r="H20" s="11">
        <v>7345</v>
      </c>
      <c r="I20" s="11">
        <v>7345</v>
      </c>
      <c r="J20" s="11">
        <v>7600</v>
      </c>
      <c r="K20" s="11">
        <v>7600</v>
      </c>
      <c r="L20" s="11">
        <v>7600</v>
      </c>
      <c r="M20" s="11">
        <v>7600</v>
      </c>
    </row>
    <row r="21" spans="1:14" x14ac:dyDescent="0.35">
      <c r="A21" s="6" t="s">
        <v>30</v>
      </c>
      <c r="B21" s="24">
        <f t="shared" ref="B21:M21" si="4">B18+B19+B20</f>
        <v>341097.06385345361</v>
      </c>
      <c r="C21" s="24">
        <f t="shared" si="4"/>
        <v>360674.99347682507</v>
      </c>
      <c r="D21" s="24">
        <f t="shared" si="4"/>
        <v>384383.37209911988</v>
      </c>
      <c r="E21" s="24">
        <f t="shared" si="4"/>
        <v>405771.13477122091</v>
      </c>
      <c r="F21" s="24">
        <f t="shared" si="4"/>
        <v>421482.55085269117</v>
      </c>
      <c r="G21" s="24">
        <f t="shared" si="4"/>
        <v>436073.65115039027</v>
      </c>
      <c r="H21" s="24">
        <f t="shared" si="4"/>
        <v>449567.22222222225</v>
      </c>
      <c r="I21" s="24">
        <f t="shared" si="4"/>
        <v>494011.66666666663</v>
      </c>
      <c r="J21" s="24">
        <f t="shared" si="4"/>
        <v>543155.5555555555</v>
      </c>
      <c r="K21" s="24">
        <f t="shared" si="4"/>
        <v>523600</v>
      </c>
      <c r="L21" s="24">
        <f t="shared" si="4"/>
        <v>559600</v>
      </c>
      <c r="M21" s="24">
        <f t="shared" si="4"/>
        <v>597600</v>
      </c>
    </row>
    <row r="22" spans="1:14" x14ac:dyDescent="0.3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s="42" customFormat="1" x14ac:dyDescent="0.35">
      <c r="A23" s="39" t="s">
        <v>31</v>
      </c>
      <c r="B23" s="40">
        <f t="shared" ref="B23:M23" si="5">IF((B21-B10)&lt;0,B10-B21,"")</f>
        <v>46474.936146546388</v>
      </c>
      <c r="C23" s="40">
        <f t="shared" si="5"/>
        <v>36944.006523174932</v>
      </c>
      <c r="D23" s="40">
        <f t="shared" si="5"/>
        <v>24489.627900880121</v>
      </c>
      <c r="E23" s="40">
        <f t="shared" si="5"/>
        <v>13770.86522877909</v>
      </c>
      <c r="F23" s="40">
        <f t="shared" si="5"/>
        <v>4531.5820832175086</v>
      </c>
      <c r="G23" s="40" t="str">
        <f t="shared" si="5"/>
        <v/>
      </c>
      <c r="H23" s="40" t="str">
        <f t="shared" si="5"/>
        <v/>
      </c>
      <c r="I23" s="40" t="str">
        <f t="shared" si="5"/>
        <v/>
      </c>
      <c r="J23" s="40" t="str">
        <f t="shared" si="5"/>
        <v/>
      </c>
      <c r="K23" s="40" t="str">
        <f t="shared" si="5"/>
        <v/>
      </c>
      <c r="L23" s="40" t="str">
        <f t="shared" si="5"/>
        <v/>
      </c>
      <c r="M23" s="40" t="str">
        <f t="shared" si="5"/>
        <v/>
      </c>
      <c r="N23" s="41">
        <f>SUM(B23:M23)</f>
        <v>126211.01788259804</v>
      </c>
    </row>
    <row r="25" spans="1:14" x14ac:dyDescent="0.35">
      <c r="A25" s="25" t="s">
        <v>32</v>
      </c>
      <c r="H25" s="26" t="s">
        <v>33</v>
      </c>
      <c r="I25" s="27"/>
    </row>
    <row r="26" spans="1:14" x14ac:dyDescent="0.35">
      <c r="A26" s="9" t="s">
        <v>34</v>
      </c>
      <c r="B26" s="11"/>
      <c r="C26" s="2" t="s">
        <v>35</v>
      </c>
      <c r="H26" s="33" t="s">
        <v>59</v>
      </c>
      <c r="I26" s="34"/>
      <c r="J26" s="34"/>
      <c r="K26" s="34"/>
      <c r="L26" s="34"/>
      <c r="M26" s="35"/>
    </row>
    <row r="27" spans="1:14" x14ac:dyDescent="0.35">
      <c r="A27" s="9" t="s">
        <v>37</v>
      </c>
      <c r="B27" s="11"/>
      <c r="C27" s="2" t="s">
        <v>38</v>
      </c>
      <c r="H27" s="43" t="s">
        <v>60</v>
      </c>
      <c r="I27" s="44"/>
      <c r="J27" s="44"/>
      <c r="K27" s="44"/>
      <c r="L27" s="44"/>
      <c r="M27" s="45"/>
    </row>
    <row r="28" spans="1:14" x14ac:dyDescent="0.35">
      <c r="A28" s="9" t="s">
        <v>40</v>
      </c>
      <c r="B28" s="23">
        <f>(B26+B27)*0.1</f>
        <v>0</v>
      </c>
      <c r="C28" s="2" t="s">
        <v>41</v>
      </c>
      <c r="H28" s="46"/>
      <c r="I28" s="47"/>
      <c r="J28" s="47"/>
      <c r="K28" s="47"/>
      <c r="L28" s="47"/>
      <c r="M28" s="48"/>
    </row>
    <row r="29" spans="1:14" x14ac:dyDescent="0.35">
      <c r="A29" s="9" t="s">
        <v>42</v>
      </c>
      <c r="B29" s="11"/>
      <c r="H29" s="49"/>
      <c r="I29" s="50"/>
      <c r="J29" s="50"/>
      <c r="K29" s="50"/>
      <c r="L29" s="50"/>
      <c r="M29" s="51"/>
    </row>
    <row r="30" spans="1:14" x14ac:dyDescent="0.35">
      <c r="A30" s="9" t="s">
        <v>44</v>
      </c>
      <c r="B30" s="23">
        <f>B26*0.1*4</f>
        <v>0</v>
      </c>
      <c r="C30" s="2" t="s">
        <v>45</v>
      </c>
      <c r="H30" s="43" t="s">
        <v>61</v>
      </c>
      <c r="I30" s="44"/>
      <c r="J30" s="44"/>
      <c r="K30" s="44"/>
      <c r="L30" s="44"/>
      <c r="M30" s="45"/>
    </row>
    <row r="31" spans="1:14" x14ac:dyDescent="0.35">
      <c r="A31" s="9" t="s">
        <v>46</v>
      </c>
      <c r="B31" s="29">
        <v>4.6699999999999998E-2</v>
      </c>
      <c r="H31" s="49"/>
      <c r="I31" s="50"/>
      <c r="J31" s="50"/>
      <c r="K31" s="50"/>
      <c r="L31" s="50"/>
      <c r="M31" s="51"/>
    </row>
    <row r="32" spans="1:14" x14ac:dyDescent="0.35">
      <c r="A32" s="9" t="s">
        <v>48</v>
      </c>
      <c r="B32" s="32">
        <v>25</v>
      </c>
      <c r="H32" s="28" t="s">
        <v>62</v>
      </c>
      <c r="I32" s="28"/>
      <c r="J32" s="28"/>
      <c r="K32" s="28"/>
      <c r="L32" s="28"/>
      <c r="M32" s="28"/>
    </row>
    <row r="33" spans="1:13" x14ac:dyDescent="0.35">
      <c r="A33" s="9" t="s">
        <v>50</v>
      </c>
      <c r="B33" s="23">
        <f>B26+B27-B28-B29-B30</f>
        <v>0</v>
      </c>
      <c r="H33" s="28"/>
      <c r="I33" s="28"/>
      <c r="J33" s="28"/>
      <c r="K33" s="28"/>
      <c r="L33" s="28"/>
      <c r="M33" s="28"/>
    </row>
    <row r="34" spans="1:13" x14ac:dyDescent="0.35">
      <c r="A34" s="6" t="s">
        <v>51</v>
      </c>
      <c r="B34" s="14">
        <f>(PMT(B31/12,B32*12,B33))*(-12)</f>
        <v>0</v>
      </c>
      <c r="H34" s="28" t="s">
        <v>63</v>
      </c>
      <c r="I34" s="28"/>
      <c r="J34" s="28"/>
      <c r="K34" s="28"/>
      <c r="L34" s="28"/>
      <c r="M34" s="28"/>
    </row>
    <row r="35" spans="1:13" x14ac:dyDescent="0.35">
      <c r="B35" s="37"/>
      <c r="G35" s="38"/>
      <c r="H35" s="28"/>
      <c r="I35" s="28"/>
      <c r="J35" s="28"/>
      <c r="K35" s="28"/>
      <c r="L35" s="28"/>
      <c r="M35" s="28"/>
    </row>
    <row r="36" spans="1:13" x14ac:dyDescent="0.35">
      <c r="A36" s="25" t="s">
        <v>52</v>
      </c>
      <c r="B36" s="15"/>
      <c r="H36" s="28" t="s">
        <v>64</v>
      </c>
      <c r="I36" s="28"/>
      <c r="J36" s="28"/>
      <c r="K36" s="28"/>
      <c r="L36" s="28"/>
      <c r="M36" s="28"/>
    </row>
    <row r="37" spans="1:13" x14ac:dyDescent="0.35">
      <c r="A37" s="9" t="s">
        <v>53</v>
      </c>
      <c r="B37" s="11">
        <v>3500000</v>
      </c>
      <c r="C37" s="2" t="s">
        <v>54</v>
      </c>
      <c r="H37" s="28"/>
      <c r="I37" s="28"/>
      <c r="J37" s="28"/>
      <c r="K37" s="28"/>
      <c r="L37" s="28"/>
      <c r="M37" s="28"/>
    </row>
    <row r="38" spans="1:13" x14ac:dyDescent="0.35">
      <c r="A38" s="9" t="s">
        <v>55</v>
      </c>
      <c r="B38" s="11"/>
      <c r="C38" s="2" t="s">
        <v>56</v>
      </c>
      <c r="H38" s="28" t="s">
        <v>65</v>
      </c>
      <c r="I38" s="28"/>
      <c r="J38" s="28"/>
      <c r="K38" s="28"/>
      <c r="L38" s="28"/>
      <c r="M38" s="28"/>
    </row>
    <row r="39" spans="1:13" x14ac:dyDescent="0.35">
      <c r="A39" s="9" t="s">
        <v>40</v>
      </c>
      <c r="B39" s="23">
        <f>(B37+B38)*0.1</f>
        <v>350000</v>
      </c>
      <c r="C39" s="2" t="s">
        <v>57</v>
      </c>
      <c r="H39" s="28"/>
      <c r="I39" s="28"/>
      <c r="J39" s="28"/>
      <c r="K39" s="28"/>
      <c r="L39" s="28"/>
      <c r="M39" s="28"/>
    </row>
    <row r="40" spans="1:13" x14ac:dyDescent="0.35">
      <c r="A40" s="9" t="s">
        <v>42</v>
      </c>
      <c r="B40" s="11"/>
      <c r="H40" s="28"/>
      <c r="I40" s="28"/>
      <c r="J40" s="28"/>
      <c r="K40" s="28"/>
      <c r="L40" s="28"/>
      <c r="M40" s="28"/>
    </row>
    <row r="41" spans="1:13" x14ac:dyDescent="0.35">
      <c r="A41" s="9" t="s">
        <v>44</v>
      </c>
      <c r="B41" s="23">
        <f>B37*0.1*2</f>
        <v>700000</v>
      </c>
      <c r="C41" s="2" t="s">
        <v>58</v>
      </c>
      <c r="H41" s="28"/>
      <c r="I41" s="28"/>
      <c r="J41" s="28"/>
      <c r="K41" s="28"/>
      <c r="L41" s="28"/>
      <c r="M41" s="28"/>
    </row>
    <row r="42" spans="1:13" x14ac:dyDescent="0.35">
      <c r="A42" s="9" t="s">
        <v>46</v>
      </c>
      <c r="B42" s="29">
        <v>4.6699999999999998E-2</v>
      </c>
      <c r="H42" s="28"/>
      <c r="I42" s="28"/>
      <c r="J42" s="28"/>
      <c r="K42" s="28"/>
      <c r="L42" s="28"/>
      <c r="M42" s="28"/>
    </row>
    <row r="43" spans="1:13" x14ac:dyDescent="0.35">
      <c r="A43" s="9" t="s">
        <v>48</v>
      </c>
      <c r="B43" s="32">
        <v>25</v>
      </c>
      <c r="H43" s="52" t="s">
        <v>49</v>
      </c>
      <c r="I43" s="52"/>
      <c r="J43" s="52"/>
      <c r="K43" s="52"/>
      <c r="L43" s="52"/>
      <c r="M43" s="52"/>
    </row>
    <row r="44" spans="1:13" x14ac:dyDescent="0.35">
      <c r="A44" s="9" t="s">
        <v>50</v>
      </c>
      <c r="B44" s="23">
        <f>B37+B38-B39-B40-B41</f>
        <v>2450000</v>
      </c>
    </row>
    <row r="45" spans="1:13" x14ac:dyDescent="0.35">
      <c r="A45" s="6" t="s">
        <v>51</v>
      </c>
      <c r="B45" s="14">
        <f>(PMT(B42/12,B43*12,B44))*(-12)</f>
        <v>166264.53661526676</v>
      </c>
    </row>
  </sheetData>
  <mergeCells count="9">
    <mergeCell ref="H36:M37"/>
    <mergeCell ref="H38:M42"/>
    <mergeCell ref="H43:M43"/>
    <mergeCell ref="A1:L2"/>
    <mergeCell ref="H26:M26"/>
    <mergeCell ref="H27:M29"/>
    <mergeCell ref="H30:M31"/>
    <mergeCell ref="H32:M33"/>
    <mergeCell ref="H34:M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5DB3-C0AD-4A35-B20E-D8AF4F88057D}">
  <dimension ref="A1:N45"/>
  <sheetViews>
    <sheetView workbookViewId="0">
      <selection activeCell="B3" sqref="B1:B1048576"/>
    </sheetView>
  </sheetViews>
  <sheetFormatPr defaultColWidth="9.1796875" defaultRowHeight="15.5" x14ac:dyDescent="0.35"/>
  <cols>
    <col min="1" max="1" width="27.453125" style="2" customWidth="1"/>
    <col min="2" max="3" width="11.81640625" style="2" customWidth="1"/>
    <col min="4" max="4" width="12.453125" style="2" customWidth="1"/>
    <col min="5" max="5" width="13.81640625" style="2" customWidth="1"/>
    <col min="6" max="6" width="14.54296875" style="2" customWidth="1"/>
    <col min="7" max="14" width="12" style="2" customWidth="1"/>
    <col min="15" max="16384" width="9.1796875" style="3"/>
  </cols>
  <sheetData>
    <row r="1" spans="1:14" x14ac:dyDescent="0.3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x14ac:dyDescent="0.3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x14ac:dyDescent="0.3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N4" s="3"/>
    </row>
    <row r="5" spans="1:14" x14ac:dyDescent="0.35">
      <c r="A5" s="9" t="s">
        <v>15</v>
      </c>
      <c r="B5" s="10">
        <v>1.03</v>
      </c>
      <c r="C5" s="10">
        <v>1.03</v>
      </c>
      <c r="D5" s="10">
        <v>1.03</v>
      </c>
      <c r="E5" s="10">
        <v>1.03</v>
      </c>
      <c r="F5" s="10">
        <v>1.03</v>
      </c>
      <c r="G5" s="10">
        <v>1.03</v>
      </c>
      <c r="H5" s="10">
        <v>1.03</v>
      </c>
      <c r="I5" s="10">
        <v>1.03</v>
      </c>
      <c r="J5" s="10">
        <v>1.03</v>
      </c>
      <c r="K5" s="10">
        <v>1.03</v>
      </c>
      <c r="L5" s="10">
        <v>1.03</v>
      </c>
      <c r="N5" s="3"/>
    </row>
    <row r="6" spans="1:14" x14ac:dyDescent="0.35">
      <c r="A6" s="9" t="s">
        <v>16</v>
      </c>
      <c r="B6" s="12">
        <v>125164</v>
      </c>
      <c r="C6" s="12">
        <v>128918.92</v>
      </c>
      <c r="D6" s="12">
        <v>129430</v>
      </c>
      <c r="E6" s="12">
        <v>133312.9</v>
      </c>
      <c r="F6" s="12">
        <v>137312.28700000001</v>
      </c>
      <c r="G6" s="12">
        <v>141431.65561000002</v>
      </c>
      <c r="H6" s="12">
        <v>145674.60527830003</v>
      </c>
      <c r="I6" s="12">
        <v>150044.84343664904</v>
      </c>
      <c r="J6" s="12">
        <v>154546.18873974853</v>
      </c>
      <c r="K6" s="12">
        <v>159182.57440194098</v>
      </c>
      <c r="L6" s="12">
        <v>163958.05163399922</v>
      </c>
      <c r="N6" s="3"/>
    </row>
    <row r="7" spans="1:14" x14ac:dyDescent="0.35">
      <c r="A7" s="9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N7" s="3"/>
    </row>
    <row r="8" spans="1:14" x14ac:dyDescent="0.35">
      <c r="A8" s="9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4" x14ac:dyDescent="0.35">
      <c r="A9" s="9" t="s">
        <v>19</v>
      </c>
      <c r="B9" s="11">
        <v>43512</v>
      </c>
      <c r="C9" s="11">
        <v>43512</v>
      </c>
      <c r="D9" s="11">
        <v>43512</v>
      </c>
      <c r="E9" s="11">
        <v>43512</v>
      </c>
      <c r="F9" s="11">
        <v>43512</v>
      </c>
      <c r="G9" s="11">
        <v>43512</v>
      </c>
      <c r="H9" s="11">
        <v>43512</v>
      </c>
      <c r="I9" s="11">
        <v>43512</v>
      </c>
      <c r="J9" s="11">
        <v>43512</v>
      </c>
      <c r="K9" s="11">
        <v>43512</v>
      </c>
      <c r="L9" s="11">
        <v>43512</v>
      </c>
      <c r="N9" s="3"/>
    </row>
    <row r="10" spans="1:14" x14ac:dyDescent="0.35">
      <c r="A10" s="6" t="s">
        <v>20</v>
      </c>
      <c r="B10" s="14">
        <v>173942</v>
      </c>
      <c r="C10" s="14">
        <v>177779</v>
      </c>
      <c r="D10" s="14">
        <v>177779</v>
      </c>
      <c r="E10" s="14">
        <v>176824.9</v>
      </c>
      <c r="F10" s="14">
        <v>180824.28700000001</v>
      </c>
      <c r="G10" s="14">
        <v>184943.65561000002</v>
      </c>
      <c r="H10" s="14">
        <v>189186.60527830003</v>
      </c>
      <c r="I10" s="14">
        <v>193556.84343664904</v>
      </c>
      <c r="J10" s="14">
        <v>198058.18873974853</v>
      </c>
      <c r="K10" s="14">
        <v>202694.57440194098</v>
      </c>
      <c r="L10" s="14">
        <v>207470.05163399922</v>
      </c>
      <c r="N10" s="3"/>
    </row>
    <row r="11" spans="1:14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3"/>
    </row>
    <row r="12" spans="1:14" x14ac:dyDescent="0.35">
      <c r="A12" s="9" t="s">
        <v>21</v>
      </c>
      <c r="B12" s="17">
        <v>0.1</v>
      </c>
      <c r="C12" s="17">
        <v>0.1</v>
      </c>
      <c r="D12" s="17">
        <v>0.1</v>
      </c>
      <c r="E12" s="17">
        <v>0.1</v>
      </c>
      <c r="F12" s="17">
        <v>0.1</v>
      </c>
      <c r="G12" s="17">
        <v>0.1</v>
      </c>
      <c r="H12" s="17">
        <v>0.15</v>
      </c>
      <c r="I12" s="17">
        <v>0.15</v>
      </c>
      <c r="J12" s="17">
        <v>0.1</v>
      </c>
      <c r="K12" s="17">
        <v>0.05</v>
      </c>
      <c r="L12" s="17">
        <v>0.05</v>
      </c>
      <c r="N12" s="3"/>
    </row>
    <row r="13" spans="1:14" x14ac:dyDescent="0.35">
      <c r="A13" s="9" t="s">
        <v>22</v>
      </c>
      <c r="B13" s="18">
        <v>55</v>
      </c>
      <c r="C13" s="18">
        <v>61</v>
      </c>
      <c r="D13" s="18">
        <v>67</v>
      </c>
      <c r="E13" s="18">
        <v>74</v>
      </c>
      <c r="F13" s="18">
        <v>81</v>
      </c>
      <c r="G13" s="18">
        <v>89</v>
      </c>
      <c r="H13" s="18">
        <v>102</v>
      </c>
      <c r="I13" s="18">
        <v>117</v>
      </c>
      <c r="J13" s="18">
        <v>129</v>
      </c>
      <c r="K13" s="18">
        <v>135</v>
      </c>
      <c r="L13" s="18">
        <v>142</v>
      </c>
      <c r="N13" s="3"/>
    </row>
    <row r="14" spans="1:14" x14ac:dyDescent="0.35">
      <c r="A14" s="9" t="s">
        <v>23</v>
      </c>
      <c r="B14" s="16">
        <v>2.5</v>
      </c>
      <c r="C14" s="16">
        <v>2.5</v>
      </c>
      <c r="D14" s="16">
        <v>2.5</v>
      </c>
      <c r="E14" s="16">
        <v>2.5</v>
      </c>
      <c r="F14" s="16">
        <v>2.5</v>
      </c>
      <c r="G14" s="16">
        <v>2.5</v>
      </c>
      <c r="H14" s="16">
        <v>2.5</v>
      </c>
      <c r="I14" s="16">
        <v>2.5</v>
      </c>
      <c r="J14" s="16">
        <v>2.5</v>
      </c>
      <c r="K14" s="16">
        <v>2.5</v>
      </c>
      <c r="L14" s="16">
        <v>2.5</v>
      </c>
      <c r="N14" s="3"/>
    </row>
    <row r="15" spans="1:14" x14ac:dyDescent="0.35">
      <c r="A15" s="9" t="s">
        <v>24</v>
      </c>
      <c r="B15" s="18">
        <v>32</v>
      </c>
      <c r="C15" s="18">
        <v>34</v>
      </c>
      <c r="D15" s="18">
        <v>36</v>
      </c>
      <c r="E15" s="18">
        <v>39</v>
      </c>
      <c r="F15" s="18">
        <v>42</v>
      </c>
      <c r="G15" s="18">
        <v>45</v>
      </c>
      <c r="H15" s="18">
        <v>50</v>
      </c>
      <c r="I15" s="18">
        <v>56</v>
      </c>
      <c r="J15" s="18">
        <v>61</v>
      </c>
      <c r="K15" s="18">
        <v>63</v>
      </c>
      <c r="L15" s="18">
        <v>66</v>
      </c>
      <c r="N15" s="3"/>
    </row>
    <row r="16" spans="1:14" x14ac:dyDescent="0.35">
      <c r="A16" s="9" t="s">
        <v>25</v>
      </c>
      <c r="B16" s="20">
        <v>1915</v>
      </c>
      <c r="C16" s="20">
        <v>1930</v>
      </c>
      <c r="D16" s="20">
        <v>1950</v>
      </c>
      <c r="E16" s="20">
        <v>2000</v>
      </c>
      <c r="F16" s="20">
        <v>2050</v>
      </c>
      <c r="G16" s="20">
        <v>2100</v>
      </c>
      <c r="H16" s="20">
        <v>2150</v>
      </c>
      <c r="I16" s="20">
        <v>2200</v>
      </c>
      <c r="J16" s="20">
        <v>2250</v>
      </c>
      <c r="K16" s="20">
        <v>2275</v>
      </c>
      <c r="L16" s="20">
        <v>2300</v>
      </c>
      <c r="N16" s="3"/>
    </row>
    <row r="17" spans="1:14" x14ac:dyDescent="0.35">
      <c r="A17" s="9" t="s">
        <v>26</v>
      </c>
      <c r="B17" s="21">
        <v>0.75</v>
      </c>
      <c r="C17" s="21">
        <v>0.75</v>
      </c>
      <c r="D17" s="21">
        <v>0.75</v>
      </c>
      <c r="E17" s="21">
        <v>0.75</v>
      </c>
      <c r="F17" s="21">
        <v>0.75</v>
      </c>
      <c r="G17" s="21">
        <v>0.75</v>
      </c>
      <c r="H17" s="21">
        <v>0.75</v>
      </c>
      <c r="I17" s="21">
        <v>0.75</v>
      </c>
      <c r="J17" s="21">
        <v>0.75</v>
      </c>
      <c r="K17" s="21">
        <v>0.75</v>
      </c>
      <c r="L17" s="21">
        <v>0.75</v>
      </c>
      <c r="N17" s="3"/>
    </row>
    <row r="18" spans="1:14" x14ac:dyDescent="0.35">
      <c r="A18" s="9" t="s">
        <v>27</v>
      </c>
      <c r="B18" s="23">
        <v>128500</v>
      </c>
      <c r="C18" s="23">
        <v>136500</v>
      </c>
      <c r="D18" s="23">
        <v>140500</v>
      </c>
      <c r="E18" s="23">
        <v>144000</v>
      </c>
      <c r="F18" s="23">
        <v>153000</v>
      </c>
      <c r="G18" s="23">
        <v>165000</v>
      </c>
      <c r="H18" s="23">
        <v>179000</v>
      </c>
      <c r="I18" s="23">
        <v>190000</v>
      </c>
      <c r="J18" s="23">
        <v>210000</v>
      </c>
      <c r="K18" s="23">
        <v>220000</v>
      </c>
      <c r="L18" s="23">
        <v>230000</v>
      </c>
      <c r="N18" s="3"/>
    </row>
    <row r="19" spans="1:14" x14ac:dyDescent="0.35">
      <c r="A19" s="9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3"/>
    </row>
    <row r="20" spans="1:14" x14ac:dyDescent="0.35">
      <c r="A20" s="9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N20" s="3"/>
    </row>
    <row r="21" spans="1:14" x14ac:dyDescent="0.35">
      <c r="A21" s="6" t="s">
        <v>30</v>
      </c>
      <c r="B21" s="24">
        <v>128500</v>
      </c>
      <c r="C21" s="24">
        <v>136500</v>
      </c>
      <c r="D21" s="24">
        <v>140500</v>
      </c>
      <c r="E21" s="24">
        <v>144000</v>
      </c>
      <c r="F21" s="24">
        <v>153000</v>
      </c>
      <c r="G21" s="24">
        <v>165000</v>
      </c>
      <c r="H21" s="24">
        <v>179000</v>
      </c>
      <c r="I21" s="24">
        <v>190000</v>
      </c>
      <c r="J21" s="24">
        <v>210000</v>
      </c>
      <c r="K21" s="24">
        <v>220000</v>
      </c>
      <c r="L21" s="24">
        <v>230000</v>
      </c>
      <c r="N21" s="3"/>
    </row>
    <row r="22" spans="1:14" ht="14.5" customHeight="1" x14ac:dyDescent="0.3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N22" s="3"/>
    </row>
    <row r="23" spans="1:14" s="42" customFormat="1" x14ac:dyDescent="0.35">
      <c r="A23" s="39" t="s">
        <v>31</v>
      </c>
      <c r="B23" s="40">
        <v>45442</v>
      </c>
      <c r="C23" s="40">
        <v>41279</v>
      </c>
      <c r="D23" s="40">
        <v>37279</v>
      </c>
      <c r="E23" s="40">
        <v>32824.899999999994</v>
      </c>
      <c r="F23" s="40">
        <v>27824.287000000011</v>
      </c>
      <c r="G23" s="40">
        <v>19943.655610000016</v>
      </c>
      <c r="H23" s="40">
        <v>10186.605278300034</v>
      </c>
      <c r="I23" s="40">
        <v>3556.8434366490401</v>
      </c>
      <c r="J23" s="40" t="s">
        <v>66</v>
      </c>
      <c r="K23" s="40" t="s">
        <v>66</v>
      </c>
      <c r="L23" s="40" t="s">
        <v>66</v>
      </c>
      <c r="M23" s="41">
        <v>267112.29132494912</v>
      </c>
    </row>
    <row r="25" spans="1:14" x14ac:dyDescent="0.35">
      <c r="A25" s="25" t="s">
        <v>32</v>
      </c>
      <c r="H25" s="26" t="s">
        <v>33</v>
      </c>
      <c r="I25" s="27"/>
    </row>
    <row r="26" spans="1:14" x14ac:dyDescent="0.35">
      <c r="A26" s="9" t="s">
        <v>34</v>
      </c>
      <c r="B26" s="11"/>
      <c r="C26" s="2" t="s">
        <v>35</v>
      </c>
      <c r="H26" s="9" t="s">
        <v>36</v>
      </c>
      <c r="I26" s="9"/>
      <c r="J26" s="9"/>
      <c r="K26" s="9"/>
      <c r="L26" s="9"/>
      <c r="M26" s="9"/>
    </row>
    <row r="27" spans="1:14" x14ac:dyDescent="0.35">
      <c r="A27" s="9" t="s">
        <v>37</v>
      </c>
      <c r="B27" s="11"/>
      <c r="C27" s="2" t="s">
        <v>38</v>
      </c>
      <c r="H27" s="28" t="s">
        <v>39</v>
      </c>
      <c r="I27" s="28"/>
      <c r="J27" s="28"/>
      <c r="K27" s="28"/>
      <c r="L27" s="28"/>
      <c r="M27" s="28"/>
    </row>
    <row r="28" spans="1:14" x14ac:dyDescent="0.35">
      <c r="A28" s="9" t="s">
        <v>40</v>
      </c>
      <c r="B28" s="23">
        <f>(B26+B27)*0.1</f>
        <v>0</v>
      </c>
      <c r="C28" s="2" t="s">
        <v>41</v>
      </c>
      <c r="H28" s="28"/>
      <c r="I28" s="28"/>
      <c r="J28" s="28"/>
      <c r="K28" s="28"/>
      <c r="L28" s="28"/>
      <c r="M28" s="28"/>
    </row>
    <row r="29" spans="1:14" x14ac:dyDescent="0.35">
      <c r="A29" s="9" t="s">
        <v>42</v>
      </c>
      <c r="B29" s="11"/>
      <c r="H29" s="28" t="s">
        <v>43</v>
      </c>
      <c r="I29" s="28"/>
      <c r="J29" s="28"/>
      <c r="K29" s="28"/>
      <c r="L29" s="28"/>
      <c r="M29" s="28"/>
    </row>
    <row r="30" spans="1:14" x14ac:dyDescent="0.35">
      <c r="A30" s="9" t="s">
        <v>44</v>
      </c>
      <c r="B30" s="23">
        <f>B26*0.1*4</f>
        <v>0</v>
      </c>
      <c r="C30" s="2" t="s">
        <v>45</v>
      </c>
      <c r="H30" s="28"/>
      <c r="I30" s="28"/>
      <c r="J30" s="28"/>
      <c r="K30" s="28"/>
      <c r="L30" s="28"/>
      <c r="M30" s="28"/>
    </row>
    <row r="31" spans="1:14" x14ac:dyDescent="0.35">
      <c r="A31" s="9" t="s">
        <v>46</v>
      </c>
      <c r="B31" s="29"/>
      <c r="H31" s="30" t="s">
        <v>47</v>
      </c>
      <c r="I31" s="31"/>
      <c r="J31" s="31"/>
      <c r="K31" s="31"/>
      <c r="L31" s="31"/>
      <c r="M31" s="31"/>
    </row>
    <row r="32" spans="1:14" x14ac:dyDescent="0.35">
      <c r="A32" s="9" t="s">
        <v>48</v>
      </c>
      <c r="B32" s="32"/>
      <c r="H32" s="33" t="s">
        <v>49</v>
      </c>
      <c r="I32" s="34"/>
      <c r="J32" s="34"/>
      <c r="K32" s="34"/>
      <c r="L32" s="34"/>
      <c r="M32" s="35"/>
    </row>
    <row r="33" spans="1:13" x14ac:dyDescent="0.35">
      <c r="A33" s="9" t="s">
        <v>50</v>
      </c>
      <c r="B33" s="23">
        <f>B26+B27-B28-B29-B30</f>
        <v>0</v>
      </c>
      <c r="I33" s="36"/>
      <c r="J33" s="36"/>
      <c r="K33" s="36"/>
      <c r="L33" s="36"/>
      <c r="M33" s="36"/>
    </row>
    <row r="34" spans="1:13" x14ac:dyDescent="0.35">
      <c r="A34" s="6" t="s">
        <v>51</v>
      </c>
      <c r="B34" s="14" t="e">
        <f>(PMT(B31/12,B32*12,B33))*(-12)</f>
        <v>#NUM!</v>
      </c>
    </row>
    <row r="35" spans="1:13" x14ac:dyDescent="0.35">
      <c r="B35" s="37"/>
      <c r="G35" s="38"/>
    </row>
    <row r="36" spans="1:13" x14ac:dyDescent="0.35">
      <c r="A36" s="25" t="s">
        <v>52</v>
      </c>
      <c r="B36" s="15"/>
    </row>
    <row r="37" spans="1:13" x14ac:dyDescent="0.35">
      <c r="A37" s="9" t="s">
        <v>53</v>
      </c>
      <c r="B37" s="11"/>
      <c r="C37" s="2" t="s">
        <v>54</v>
      </c>
    </row>
    <row r="38" spans="1:13" x14ac:dyDescent="0.35">
      <c r="A38" s="9" t="s">
        <v>55</v>
      </c>
      <c r="B38" s="11"/>
      <c r="C38" s="2" t="s">
        <v>56</v>
      </c>
    </row>
    <row r="39" spans="1:13" x14ac:dyDescent="0.35">
      <c r="A39" s="9" t="s">
        <v>40</v>
      </c>
      <c r="B39" s="23">
        <f>(B37+B38)*0.1</f>
        <v>0</v>
      </c>
      <c r="C39" s="2" t="s">
        <v>57</v>
      </c>
    </row>
    <row r="40" spans="1:13" x14ac:dyDescent="0.35">
      <c r="A40" s="9" t="s">
        <v>42</v>
      </c>
      <c r="B40" s="11"/>
    </row>
    <row r="41" spans="1:13" x14ac:dyDescent="0.35">
      <c r="A41" s="9" t="s">
        <v>44</v>
      </c>
      <c r="B41" s="23">
        <f>B37*0.1*2</f>
        <v>0</v>
      </c>
      <c r="C41" s="2" t="s">
        <v>58</v>
      </c>
    </row>
    <row r="42" spans="1:13" x14ac:dyDescent="0.35">
      <c r="A42" s="9" t="s">
        <v>46</v>
      </c>
      <c r="B42" s="29"/>
    </row>
    <row r="43" spans="1:13" x14ac:dyDescent="0.35">
      <c r="A43" s="9" t="s">
        <v>48</v>
      </c>
      <c r="B43" s="32"/>
    </row>
    <row r="44" spans="1:13" x14ac:dyDescent="0.35">
      <c r="A44" s="9" t="s">
        <v>50</v>
      </c>
      <c r="B44" s="23">
        <f>B37+B38-B39-B40-B41</f>
        <v>0</v>
      </c>
    </row>
    <row r="45" spans="1:13" x14ac:dyDescent="0.35">
      <c r="A45" s="6" t="s">
        <v>51</v>
      </c>
      <c r="B45" s="14" t="e">
        <f>(PMT(B42/12,B43*12,B44))*(-12)</f>
        <v>#NUM!</v>
      </c>
    </row>
  </sheetData>
  <mergeCells count="4">
    <mergeCell ref="A1:L2"/>
    <mergeCell ref="H27:M28"/>
    <mergeCell ref="H29:M30"/>
    <mergeCell ref="H32:M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9182-1CFC-4683-B3D2-B025004F88CC}">
  <dimension ref="A1:N45"/>
  <sheetViews>
    <sheetView topLeftCell="A11" workbookViewId="0">
      <selection activeCell="F36" sqref="F36"/>
    </sheetView>
  </sheetViews>
  <sheetFormatPr defaultColWidth="9.1796875" defaultRowHeight="15.5" x14ac:dyDescent="0.35"/>
  <cols>
    <col min="1" max="1" width="27.453125" style="2" customWidth="1"/>
    <col min="2" max="3" width="11.7265625" style="2" customWidth="1"/>
    <col min="4" max="4" width="12.453125" style="2" customWidth="1"/>
    <col min="5" max="5" width="13.7265625" style="2" customWidth="1"/>
    <col min="6" max="6" width="14.453125" style="2" customWidth="1"/>
    <col min="7" max="14" width="12" style="2" customWidth="1"/>
    <col min="15" max="16384" width="9.1796875" style="3"/>
  </cols>
  <sheetData>
    <row r="1" spans="1:13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3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x14ac:dyDescent="0.35">
      <c r="A5" s="9" t="s">
        <v>15</v>
      </c>
      <c r="B5" s="10"/>
      <c r="C5" s="10">
        <v>1.03</v>
      </c>
      <c r="D5" s="10">
        <v>1.03</v>
      </c>
      <c r="E5" s="10">
        <v>1.03</v>
      </c>
      <c r="F5" s="10">
        <v>1.03</v>
      </c>
      <c r="G5" s="10">
        <v>1.03</v>
      </c>
      <c r="H5" s="10">
        <v>1.03</v>
      </c>
      <c r="I5" s="10">
        <v>1.03</v>
      </c>
      <c r="J5" s="10">
        <v>1.03</v>
      </c>
      <c r="K5" s="10">
        <v>1.03</v>
      </c>
      <c r="L5" s="10">
        <v>1.03</v>
      </c>
      <c r="M5" s="10">
        <v>1.03</v>
      </c>
    </row>
    <row r="6" spans="1:13" x14ac:dyDescent="0.35">
      <c r="A6" s="9" t="s">
        <v>16</v>
      </c>
      <c r="B6" s="11">
        <v>289537</v>
      </c>
      <c r="C6" s="12">
        <f>B6*C5</f>
        <v>298223.11</v>
      </c>
      <c r="D6" s="12">
        <f t="shared" ref="D6:M6" si="0">C6*D5</f>
        <v>307169.80329999997</v>
      </c>
      <c r="E6" s="12">
        <f t="shared" si="0"/>
        <v>316384.89739899995</v>
      </c>
      <c r="F6" s="12">
        <f t="shared" si="0"/>
        <v>325876.44432096998</v>
      </c>
      <c r="G6" s="12">
        <f t="shared" si="0"/>
        <v>335652.7376505991</v>
      </c>
      <c r="H6" s="12">
        <f t="shared" si="0"/>
        <v>345722.31978011708</v>
      </c>
      <c r="I6" s="12">
        <f t="shared" si="0"/>
        <v>356093.9893735206</v>
      </c>
      <c r="J6" s="12">
        <f t="shared" si="0"/>
        <v>366776.80905472621</v>
      </c>
      <c r="K6" s="12">
        <f t="shared" si="0"/>
        <v>377780.11332636798</v>
      </c>
      <c r="L6" s="12">
        <f t="shared" si="0"/>
        <v>389113.51672615902</v>
      </c>
      <c r="M6" s="12">
        <f t="shared" si="0"/>
        <v>400786.92222794378</v>
      </c>
    </row>
    <row r="7" spans="1:13" x14ac:dyDescent="0.35">
      <c r="A7" s="9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5">
      <c r="A8" s="9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35">
      <c r="A9" s="9" t="s">
        <v>19</v>
      </c>
      <c r="B9" s="11">
        <v>156660</v>
      </c>
      <c r="C9" s="11">
        <v>156660</v>
      </c>
      <c r="D9" s="11">
        <v>160424</v>
      </c>
      <c r="E9" s="13">
        <v>160424</v>
      </c>
      <c r="F9" s="13">
        <v>160424</v>
      </c>
      <c r="G9" s="13">
        <v>160424</v>
      </c>
      <c r="H9" s="13">
        <v>160424</v>
      </c>
      <c r="I9" s="13">
        <v>160424</v>
      </c>
      <c r="J9" s="13">
        <v>160424</v>
      </c>
      <c r="K9" s="13">
        <v>160424</v>
      </c>
      <c r="L9" s="13">
        <v>160424</v>
      </c>
      <c r="M9" s="13">
        <v>160424</v>
      </c>
    </row>
    <row r="10" spans="1:13" x14ac:dyDescent="0.35">
      <c r="A10" s="6" t="s">
        <v>20</v>
      </c>
      <c r="B10" s="14">
        <f>SUM(B6:B9)</f>
        <v>446197</v>
      </c>
      <c r="C10" s="14">
        <f t="shared" ref="C10:M10" si="1">SUM(C6:C9)</f>
        <v>454883.11</v>
      </c>
      <c r="D10" s="14">
        <f t="shared" si="1"/>
        <v>467593.80329999997</v>
      </c>
      <c r="E10" s="14">
        <f t="shared" si="1"/>
        <v>476808.89739899995</v>
      </c>
      <c r="F10" s="14">
        <f t="shared" si="1"/>
        <v>486300.44432096998</v>
      </c>
      <c r="G10" s="14">
        <f t="shared" si="1"/>
        <v>496076.7376505991</v>
      </c>
      <c r="H10" s="14">
        <f t="shared" si="1"/>
        <v>506146.31978011708</v>
      </c>
      <c r="I10" s="14">
        <f t="shared" si="1"/>
        <v>516517.9893735206</v>
      </c>
      <c r="J10" s="14">
        <f t="shared" si="1"/>
        <v>527200.80905472627</v>
      </c>
      <c r="K10" s="14">
        <f t="shared" si="1"/>
        <v>538204.11332636792</v>
      </c>
      <c r="L10" s="14">
        <f t="shared" si="1"/>
        <v>549537.51672615902</v>
      </c>
      <c r="M10" s="14">
        <f t="shared" si="1"/>
        <v>561210.92222794378</v>
      </c>
    </row>
    <row r="11" spans="1:13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35">
      <c r="A12" s="9" t="s">
        <v>21</v>
      </c>
      <c r="B12" s="16"/>
      <c r="C12" s="17">
        <v>0.3</v>
      </c>
      <c r="D12" s="17">
        <v>0.3</v>
      </c>
      <c r="E12" s="17">
        <v>0.25</v>
      </c>
      <c r="F12" s="17">
        <v>0.25</v>
      </c>
      <c r="G12" s="17">
        <v>0.2</v>
      </c>
      <c r="H12" s="17">
        <v>0.15</v>
      </c>
      <c r="I12" s="17">
        <v>0.15</v>
      </c>
      <c r="J12" s="17">
        <v>0.15</v>
      </c>
      <c r="K12" s="17">
        <v>0.1</v>
      </c>
      <c r="L12" s="17">
        <v>0.05</v>
      </c>
      <c r="M12" s="17">
        <v>0.05</v>
      </c>
    </row>
    <row r="13" spans="1:13" x14ac:dyDescent="0.35">
      <c r="A13" s="9" t="s">
        <v>22</v>
      </c>
      <c r="B13" s="16">
        <v>130</v>
      </c>
      <c r="C13" s="18">
        <f>ROUND(B13*C12+B13,0)</f>
        <v>169</v>
      </c>
      <c r="D13" s="18">
        <f t="shared" ref="D13:M13" si="2">ROUND(C13*D12+C13,0)</f>
        <v>220</v>
      </c>
      <c r="E13" s="18">
        <f t="shared" si="2"/>
        <v>275</v>
      </c>
      <c r="F13" s="18">
        <f t="shared" si="2"/>
        <v>344</v>
      </c>
      <c r="G13" s="18">
        <f t="shared" si="2"/>
        <v>413</v>
      </c>
      <c r="H13" s="18">
        <f t="shared" si="2"/>
        <v>475</v>
      </c>
      <c r="I13" s="18">
        <f t="shared" si="2"/>
        <v>546</v>
      </c>
      <c r="J13" s="18">
        <f t="shared" si="2"/>
        <v>628</v>
      </c>
      <c r="K13" s="18">
        <f t="shared" si="2"/>
        <v>691</v>
      </c>
      <c r="L13" s="18">
        <f t="shared" si="2"/>
        <v>726</v>
      </c>
      <c r="M13" s="18">
        <f t="shared" si="2"/>
        <v>762</v>
      </c>
    </row>
    <row r="14" spans="1:13" x14ac:dyDescent="0.35">
      <c r="A14" s="9" t="s">
        <v>23</v>
      </c>
      <c r="B14" s="16"/>
      <c r="C14" s="16">
        <v>2.5</v>
      </c>
      <c r="D14" s="16">
        <v>2.5</v>
      </c>
      <c r="E14" s="16">
        <v>2.5</v>
      </c>
      <c r="F14" s="16">
        <v>2.5</v>
      </c>
      <c r="G14" s="16">
        <v>2.5</v>
      </c>
      <c r="H14" s="16">
        <v>2.5</v>
      </c>
      <c r="I14" s="16">
        <v>2.5</v>
      </c>
      <c r="J14" s="16">
        <v>2.5</v>
      </c>
      <c r="K14" s="16">
        <v>2.5</v>
      </c>
      <c r="L14" s="16">
        <v>2.5</v>
      </c>
      <c r="M14" s="16">
        <v>2.5</v>
      </c>
    </row>
    <row r="15" spans="1:13" x14ac:dyDescent="0.35">
      <c r="A15" s="9" t="s">
        <v>24</v>
      </c>
      <c r="B15" s="19">
        <v>30</v>
      </c>
      <c r="C15" s="18">
        <f>ROUND($B$15+(C13-$B$13)/C14,0)</f>
        <v>46</v>
      </c>
      <c r="D15" s="18">
        <f t="shared" ref="D15:M15" si="3">ROUND(C15+(D13-C13)/D14,0)</f>
        <v>66</v>
      </c>
      <c r="E15" s="18">
        <f t="shared" si="3"/>
        <v>88</v>
      </c>
      <c r="F15" s="18">
        <f t="shared" si="3"/>
        <v>116</v>
      </c>
      <c r="G15" s="18">
        <f t="shared" si="3"/>
        <v>144</v>
      </c>
      <c r="H15" s="18">
        <f t="shared" si="3"/>
        <v>169</v>
      </c>
      <c r="I15" s="18">
        <f t="shared" si="3"/>
        <v>197</v>
      </c>
      <c r="J15" s="18">
        <f t="shared" si="3"/>
        <v>230</v>
      </c>
      <c r="K15" s="18">
        <f t="shared" si="3"/>
        <v>255</v>
      </c>
      <c r="L15" s="18">
        <f t="shared" si="3"/>
        <v>269</v>
      </c>
      <c r="M15" s="18">
        <f t="shared" si="3"/>
        <v>283</v>
      </c>
    </row>
    <row r="16" spans="1:13" x14ac:dyDescent="0.35">
      <c r="A16" s="9" t="s">
        <v>25</v>
      </c>
      <c r="B16" s="20">
        <v>7846.38</v>
      </c>
      <c r="C16" s="20">
        <v>6172.8</v>
      </c>
      <c r="D16" s="20">
        <v>4917.9399999999996</v>
      </c>
      <c r="E16" s="20">
        <v>3850</v>
      </c>
      <c r="F16" s="20">
        <v>3200</v>
      </c>
      <c r="G16" s="20">
        <v>3000</v>
      </c>
      <c r="H16" s="20">
        <v>3000</v>
      </c>
      <c r="I16" s="20">
        <v>3000</v>
      </c>
      <c r="J16" s="20">
        <v>3000</v>
      </c>
      <c r="K16" s="20">
        <v>3000</v>
      </c>
      <c r="L16" s="20">
        <v>3000</v>
      </c>
      <c r="M16" s="20">
        <v>3000</v>
      </c>
    </row>
    <row r="17" spans="1:14" x14ac:dyDescent="0.35">
      <c r="A17" s="9" t="s">
        <v>26</v>
      </c>
      <c r="B17" s="21">
        <v>1</v>
      </c>
      <c r="C17" s="21">
        <v>0.94</v>
      </c>
      <c r="D17" s="21">
        <v>0.95</v>
      </c>
      <c r="E17" s="21">
        <v>0.95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</row>
    <row r="18" spans="1:14" x14ac:dyDescent="0.35">
      <c r="A18" s="9" t="s">
        <v>27</v>
      </c>
      <c r="B18" s="22">
        <f>B16*B15*B17</f>
        <v>235391.4</v>
      </c>
      <c r="C18" s="23">
        <f>C15*C16*C17</f>
        <v>266911.87199999997</v>
      </c>
      <c r="D18" s="23">
        <f t="shared" ref="D18:M18" si="4">D15*D16*D17</f>
        <v>308354.83799999999</v>
      </c>
      <c r="E18" s="23">
        <f t="shared" si="4"/>
        <v>321860</v>
      </c>
      <c r="F18" s="23">
        <f t="shared" si="4"/>
        <v>371200</v>
      </c>
      <c r="G18" s="23">
        <f t="shared" si="4"/>
        <v>432000</v>
      </c>
      <c r="H18" s="23">
        <f t="shared" si="4"/>
        <v>507000</v>
      </c>
      <c r="I18" s="23">
        <f t="shared" si="4"/>
        <v>591000</v>
      </c>
      <c r="J18" s="23">
        <f t="shared" si="4"/>
        <v>690000</v>
      </c>
      <c r="K18" s="23">
        <f t="shared" si="4"/>
        <v>765000</v>
      </c>
      <c r="L18" s="23">
        <f t="shared" si="4"/>
        <v>807000</v>
      </c>
      <c r="M18" s="23">
        <f t="shared" si="4"/>
        <v>849000</v>
      </c>
    </row>
    <row r="19" spans="1:14" x14ac:dyDescent="0.35">
      <c r="A19" s="9" t="s">
        <v>28</v>
      </c>
      <c r="B19" s="2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4" x14ac:dyDescent="0.35">
      <c r="A20" s="9" t="s">
        <v>29</v>
      </c>
      <c r="B20" s="11">
        <v>142151</v>
      </c>
      <c r="C20" s="11">
        <v>141769</v>
      </c>
      <c r="D20" s="11">
        <v>143598</v>
      </c>
      <c r="E20" s="11">
        <f>SUM(D20*1.03)</f>
        <v>147905.94</v>
      </c>
      <c r="F20" s="11">
        <f>SUM(E20*1.03)</f>
        <v>152343.1182</v>
      </c>
      <c r="G20" s="11">
        <f>SUM(F20*1.03)</f>
        <v>156913.411746</v>
      </c>
      <c r="H20" s="11">
        <v>156343</v>
      </c>
      <c r="I20" s="11">
        <v>156343</v>
      </c>
      <c r="J20" s="11">
        <v>156343</v>
      </c>
      <c r="K20" s="11">
        <v>156343</v>
      </c>
      <c r="L20" s="11">
        <v>156343</v>
      </c>
      <c r="M20" s="11">
        <v>156343</v>
      </c>
    </row>
    <row r="21" spans="1:14" x14ac:dyDescent="0.35">
      <c r="A21" s="6" t="s">
        <v>30</v>
      </c>
      <c r="B21" s="24">
        <f t="shared" ref="B21:M21" si="5">B18+B19+B20</f>
        <v>377542.40000000002</v>
      </c>
      <c r="C21" s="24">
        <f t="shared" si="5"/>
        <v>408680.87199999997</v>
      </c>
      <c r="D21" s="24">
        <f t="shared" si="5"/>
        <v>451952.83799999999</v>
      </c>
      <c r="E21" s="24">
        <f t="shared" si="5"/>
        <v>469765.94</v>
      </c>
      <c r="F21" s="24">
        <f t="shared" si="5"/>
        <v>523543.11820000003</v>
      </c>
      <c r="G21" s="24">
        <f t="shared" si="5"/>
        <v>588913.41174599994</v>
      </c>
      <c r="H21" s="24">
        <f t="shared" si="5"/>
        <v>663343</v>
      </c>
      <c r="I21" s="24">
        <f t="shared" si="5"/>
        <v>747343</v>
      </c>
      <c r="J21" s="24">
        <f t="shared" si="5"/>
        <v>846343</v>
      </c>
      <c r="K21" s="24">
        <f t="shared" si="5"/>
        <v>921343</v>
      </c>
      <c r="L21" s="24">
        <f t="shared" si="5"/>
        <v>963343</v>
      </c>
      <c r="M21" s="24">
        <f t="shared" si="5"/>
        <v>1005343</v>
      </c>
    </row>
    <row r="22" spans="1:14" x14ac:dyDescent="0.3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s="42" customFormat="1" x14ac:dyDescent="0.35">
      <c r="A23" s="39" t="s">
        <v>31</v>
      </c>
      <c r="B23" s="40">
        <f t="shared" ref="B23:M23" si="6">IF((B21-B10)&lt;0,B10-B21,"")</f>
        <v>68654.599999999977</v>
      </c>
      <c r="C23" s="40">
        <f t="shared" si="6"/>
        <v>46202.238000000012</v>
      </c>
      <c r="D23" s="40">
        <f t="shared" si="6"/>
        <v>15640.965299999982</v>
      </c>
      <c r="E23" s="40">
        <f t="shared" si="6"/>
        <v>7042.9573989999481</v>
      </c>
      <c r="F23" s="40" t="str">
        <f t="shared" si="6"/>
        <v/>
      </c>
      <c r="G23" s="40" t="str">
        <f t="shared" si="6"/>
        <v/>
      </c>
      <c r="H23" s="40" t="str">
        <f t="shared" si="6"/>
        <v/>
      </c>
      <c r="I23" s="40" t="str">
        <f t="shared" si="6"/>
        <v/>
      </c>
      <c r="J23" s="40" t="str">
        <f t="shared" si="6"/>
        <v/>
      </c>
      <c r="K23" s="40" t="str">
        <f t="shared" si="6"/>
        <v/>
      </c>
      <c r="L23" s="40" t="str">
        <f t="shared" si="6"/>
        <v/>
      </c>
      <c r="M23" s="40" t="str">
        <f t="shared" si="6"/>
        <v/>
      </c>
      <c r="N23" s="41">
        <f>SUM(B23:M23)</f>
        <v>137540.76069899992</v>
      </c>
    </row>
    <row r="25" spans="1:14" x14ac:dyDescent="0.35">
      <c r="A25" s="25" t="s">
        <v>32</v>
      </c>
      <c r="H25" s="26" t="s">
        <v>33</v>
      </c>
      <c r="I25" s="27"/>
    </row>
    <row r="26" spans="1:14" x14ac:dyDescent="0.35">
      <c r="A26" s="9" t="s">
        <v>34</v>
      </c>
      <c r="B26" s="11">
        <v>0</v>
      </c>
      <c r="C26" s="2" t="s">
        <v>35</v>
      </c>
      <c r="H26" s="9" t="s">
        <v>36</v>
      </c>
      <c r="I26" s="9"/>
      <c r="J26" s="9"/>
      <c r="K26" s="9"/>
      <c r="L26" s="9"/>
      <c r="M26" s="9"/>
    </row>
    <row r="27" spans="1:14" x14ac:dyDescent="0.35">
      <c r="A27" s="9" t="s">
        <v>37</v>
      </c>
      <c r="B27" s="11"/>
      <c r="C27" s="2" t="s">
        <v>38</v>
      </c>
      <c r="H27" s="28" t="s">
        <v>39</v>
      </c>
      <c r="I27" s="28"/>
      <c r="J27" s="28"/>
      <c r="K27" s="28"/>
      <c r="L27" s="28"/>
      <c r="M27" s="28"/>
    </row>
    <row r="28" spans="1:14" x14ac:dyDescent="0.35">
      <c r="A28" s="9" t="s">
        <v>40</v>
      </c>
      <c r="B28" s="23">
        <f>(B26+B27)*0.1</f>
        <v>0</v>
      </c>
      <c r="C28" s="2" t="s">
        <v>41</v>
      </c>
      <c r="H28" s="28"/>
      <c r="I28" s="28"/>
      <c r="J28" s="28"/>
      <c r="K28" s="28"/>
      <c r="L28" s="28"/>
      <c r="M28" s="28"/>
    </row>
    <row r="29" spans="1:14" x14ac:dyDescent="0.35">
      <c r="A29" s="9" t="s">
        <v>42</v>
      </c>
      <c r="B29" s="11">
        <v>0</v>
      </c>
      <c r="H29" s="28" t="s">
        <v>43</v>
      </c>
      <c r="I29" s="28"/>
      <c r="J29" s="28"/>
      <c r="K29" s="28"/>
      <c r="L29" s="28"/>
      <c r="M29" s="28"/>
    </row>
    <row r="30" spans="1:14" x14ac:dyDescent="0.35">
      <c r="A30" s="9" t="s">
        <v>44</v>
      </c>
      <c r="B30" s="23">
        <f>B26*0.1*4</f>
        <v>0</v>
      </c>
      <c r="C30" s="2" t="s">
        <v>45</v>
      </c>
      <c r="H30" s="28"/>
      <c r="I30" s="28"/>
      <c r="J30" s="28"/>
      <c r="K30" s="28"/>
      <c r="L30" s="28"/>
      <c r="M30" s="28"/>
    </row>
    <row r="31" spans="1:14" x14ac:dyDescent="0.35">
      <c r="A31" s="9" t="s">
        <v>46</v>
      </c>
      <c r="B31" s="29">
        <v>4.6699999999999998E-2</v>
      </c>
      <c r="H31" s="30" t="s">
        <v>47</v>
      </c>
      <c r="I31" s="31"/>
      <c r="J31" s="31"/>
      <c r="K31" s="31"/>
      <c r="L31" s="31"/>
      <c r="M31" s="31"/>
    </row>
    <row r="32" spans="1:14" x14ac:dyDescent="0.35">
      <c r="A32" s="9" t="s">
        <v>48</v>
      </c>
      <c r="B32" s="32">
        <v>25</v>
      </c>
      <c r="H32" s="33" t="s">
        <v>49</v>
      </c>
      <c r="I32" s="34"/>
      <c r="J32" s="34"/>
      <c r="K32" s="34"/>
      <c r="L32" s="34"/>
      <c r="M32" s="35"/>
    </row>
    <row r="33" spans="1:13" x14ac:dyDescent="0.35">
      <c r="A33" s="9" t="s">
        <v>50</v>
      </c>
      <c r="B33" s="23">
        <f>B26+B27-B28-B29-B30</f>
        <v>0</v>
      </c>
      <c r="I33" s="36"/>
      <c r="J33" s="36"/>
      <c r="K33" s="36"/>
      <c r="L33" s="36"/>
      <c r="M33" s="36"/>
    </row>
    <row r="34" spans="1:13" x14ac:dyDescent="0.35">
      <c r="A34" s="6" t="s">
        <v>51</v>
      </c>
      <c r="B34" s="14">
        <f>(PMT(B31/12,B32*12,B33))*(-12)</f>
        <v>0</v>
      </c>
    </row>
    <row r="35" spans="1:13" x14ac:dyDescent="0.35">
      <c r="B35" s="37"/>
      <c r="G35" s="38"/>
    </row>
    <row r="36" spans="1:13" x14ac:dyDescent="0.35">
      <c r="A36" s="25" t="s">
        <v>52</v>
      </c>
      <c r="B36" s="15"/>
    </row>
    <row r="37" spans="1:13" x14ac:dyDescent="0.35">
      <c r="A37" s="9" t="s">
        <v>53</v>
      </c>
      <c r="B37" s="11">
        <v>3295600</v>
      </c>
      <c r="C37" s="2" t="s">
        <v>54</v>
      </c>
    </row>
    <row r="38" spans="1:13" x14ac:dyDescent="0.35">
      <c r="A38" s="9" t="s">
        <v>55</v>
      </c>
      <c r="B38" s="11">
        <v>3500</v>
      </c>
      <c r="C38" s="2" t="s">
        <v>56</v>
      </c>
    </row>
    <row r="39" spans="1:13" x14ac:dyDescent="0.35">
      <c r="A39" s="9" t="s">
        <v>40</v>
      </c>
      <c r="B39" s="23">
        <f>(B37+B38)*0.1</f>
        <v>329910</v>
      </c>
      <c r="C39" s="2" t="s">
        <v>57</v>
      </c>
    </row>
    <row r="40" spans="1:13" x14ac:dyDescent="0.35">
      <c r="A40" s="9" t="s">
        <v>42</v>
      </c>
      <c r="B40" s="11">
        <v>36280</v>
      </c>
    </row>
    <row r="41" spans="1:13" x14ac:dyDescent="0.35">
      <c r="A41" s="9" t="s">
        <v>44</v>
      </c>
      <c r="B41" s="23">
        <f>B37*0.1*2</f>
        <v>659120</v>
      </c>
      <c r="C41" s="2" t="s">
        <v>58</v>
      </c>
    </row>
    <row r="42" spans="1:13" x14ac:dyDescent="0.35">
      <c r="A42" s="9" t="s">
        <v>46</v>
      </c>
      <c r="B42" s="29">
        <v>4.82E-2</v>
      </c>
    </row>
    <row r="43" spans="1:13" x14ac:dyDescent="0.35">
      <c r="A43" s="9" t="s">
        <v>48</v>
      </c>
      <c r="B43" s="32">
        <v>25</v>
      </c>
    </row>
    <row r="44" spans="1:13" x14ac:dyDescent="0.35">
      <c r="A44" s="9" t="s">
        <v>50</v>
      </c>
      <c r="B44" s="23">
        <f>B37+B38-B39-B40-B41</f>
        <v>2273790</v>
      </c>
    </row>
    <row r="45" spans="1:13" x14ac:dyDescent="0.35">
      <c r="A45" s="6" t="s">
        <v>51</v>
      </c>
      <c r="B45" s="14">
        <f>(PMT(B42/12,B43*12,B44))*(-12)</f>
        <v>156659.82920594147</v>
      </c>
    </row>
  </sheetData>
  <mergeCells count="4">
    <mergeCell ref="A1:L2"/>
    <mergeCell ref="H27:M28"/>
    <mergeCell ref="H29:M30"/>
    <mergeCell ref="H32:M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65BE-CCA2-4B68-88B5-60100C63EEB9}">
  <dimension ref="A1:N44"/>
  <sheetViews>
    <sheetView tabSelected="1" workbookViewId="0">
      <selection sqref="A1:L2"/>
    </sheetView>
  </sheetViews>
  <sheetFormatPr defaultColWidth="9.1796875" defaultRowHeight="15.5" x14ac:dyDescent="0.35"/>
  <cols>
    <col min="1" max="1" width="27.453125" style="2" customWidth="1"/>
    <col min="2" max="3" width="11.7265625" style="2" customWidth="1"/>
    <col min="4" max="4" width="12.453125" style="2" customWidth="1"/>
    <col min="5" max="5" width="13.81640625" style="2" customWidth="1"/>
    <col min="6" max="6" width="14.54296875" style="2" customWidth="1"/>
    <col min="7" max="14" width="12" style="2" customWidth="1"/>
    <col min="15" max="16384" width="9.1796875" style="3"/>
  </cols>
  <sheetData>
    <row r="1" spans="1:13" x14ac:dyDescent="0.3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3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/>
    </row>
    <row r="5" spans="1:13" x14ac:dyDescent="0.35">
      <c r="A5" s="9" t="s">
        <v>16</v>
      </c>
      <c r="B5" s="11">
        <v>337147</v>
      </c>
      <c r="C5" s="11">
        <v>346722</v>
      </c>
      <c r="D5" s="11">
        <v>364126</v>
      </c>
      <c r="E5" s="11">
        <v>378691.04000000004</v>
      </c>
      <c r="F5" s="11">
        <v>393838.68160000007</v>
      </c>
      <c r="G5" s="11">
        <v>409592.22886400006</v>
      </c>
      <c r="H5" s="11">
        <v>425975.9180185601</v>
      </c>
      <c r="I5" s="11">
        <v>443014.95473930251</v>
      </c>
      <c r="J5" s="11">
        <v>460735.55292887462</v>
      </c>
      <c r="K5" s="11">
        <v>479164.97504602961</v>
      </c>
      <c r="L5" s="11">
        <v>498331.57404787082</v>
      </c>
    </row>
    <row r="6" spans="1:13" x14ac:dyDescent="0.35">
      <c r="A6" s="9" t="s">
        <v>17</v>
      </c>
      <c r="B6" s="54"/>
      <c r="C6" s="53"/>
      <c r="D6" s="11"/>
      <c r="E6" s="11"/>
      <c r="F6" s="11"/>
      <c r="G6" s="11"/>
      <c r="H6" s="11"/>
      <c r="I6" s="11"/>
      <c r="J6" s="11"/>
      <c r="K6" s="11"/>
      <c r="L6" s="11"/>
    </row>
    <row r="7" spans="1:13" x14ac:dyDescent="0.35">
      <c r="A7" s="9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 x14ac:dyDescent="0.35">
      <c r="A8" s="9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x14ac:dyDescent="0.35">
      <c r="A9" s="6" t="s">
        <v>20</v>
      </c>
      <c r="B9" s="14">
        <v>337147</v>
      </c>
      <c r="C9" s="14">
        <v>346722</v>
      </c>
      <c r="D9" s="14">
        <v>364126</v>
      </c>
      <c r="E9" s="14">
        <v>378691.04000000004</v>
      </c>
      <c r="F9" s="14">
        <v>393838.68160000007</v>
      </c>
      <c r="G9" s="14">
        <v>409592.22886400006</v>
      </c>
      <c r="H9" s="14">
        <v>425975.9180185601</v>
      </c>
      <c r="I9" s="14">
        <v>443014.95473930251</v>
      </c>
      <c r="J9" s="14">
        <v>460735.55292887462</v>
      </c>
      <c r="K9" s="14">
        <v>479164.97504602961</v>
      </c>
      <c r="L9" s="14">
        <v>498331.57404787082</v>
      </c>
    </row>
    <row r="10" spans="1:13" x14ac:dyDescent="0.3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x14ac:dyDescent="0.35">
      <c r="A11" s="9" t="s">
        <v>21</v>
      </c>
      <c r="B11" s="17">
        <v>0.04</v>
      </c>
      <c r="C11" s="17">
        <v>0.04</v>
      </c>
      <c r="D11" s="17">
        <v>0.04</v>
      </c>
      <c r="E11" s="17">
        <v>0.04</v>
      </c>
      <c r="F11" s="17">
        <v>0.04</v>
      </c>
      <c r="G11" s="17">
        <v>0.04</v>
      </c>
      <c r="H11" s="17">
        <v>0.04</v>
      </c>
      <c r="I11" s="17">
        <v>0.15</v>
      </c>
      <c r="J11" s="17">
        <v>0.1</v>
      </c>
      <c r="K11" s="17">
        <v>0.05</v>
      </c>
      <c r="L11" s="17">
        <v>0.05</v>
      </c>
    </row>
    <row r="12" spans="1:13" x14ac:dyDescent="0.35">
      <c r="A12" s="9" t="s">
        <v>22</v>
      </c>
      <c r="B12" s="18">
        <v>156</v>
      </c>
      <c r="C12" s="18">
        <v>162</v>
      </c>
      <c r="D12" s="18">
        <v>168</v>
      </c>
      <c r="E12" s="18">
        <v>175</v>
      </c>
      <c r="F12" s="18">
        <v>182</v>
      </c>
      <c r="G12" s="18">
        <v>189</v>
      </c>
      <c r="H12" s="18">
        <v>197</v>
      </c>
      <c r="I12" s="18">
        <v>227</v>
      </c>
      <c r="J12" s="18">
        <v>250</v>
      </c>
      <c r="K12" s="18">
        <v>263</v>
      </c>
      <c r="L12" s="18">
        <v>276</v>
      </c>
    </row>
    <row r="13" spans="1:13" x14ac:dyDescent="0.35">
      <c r="A13" s="9" t="s">
        <v>23</v>
      </c>
      <c r="B13" s="16">
        <v>1.5</v>
      </c>
      <c r="C13" s="16">
        <v>1.5</v>
      </c>
      <c r="D13" s="16">
        <v>1.5</v>
      </c>
      <c r="E13" s="16">
        <v>1.5</v>
      </c>
      <c r="F13" s="16">
        <v>1.5</v>
      </c>
      <c r="G13" s="16">
        <v>1.5</v>
      </c>
      <c r="H13" s="16">
        <v>1.5</v>
      </c>
      <c r="I13" s="16">
        <v>1.5</v>
      </c>
      <c r="J13" s="16">
        <v>1.5</v>
      </c>
      <c r="K13" s="16">
        <v>1.5</v>
      </c>
      <c r="L13" s="16">
        <v>1.5</v>
      </c>
    </row>
    <row r="14" spans="1:13" x14ac:dyDescent="0.35">
      <c r="A14" s="9" t="s">
        <v>24</v>
      </c>
      <c r="B14" s="18">
        <v>109</v>
      </c>
      <c r="C14" s="18">
        <v>113</v>
      </c>
      <c r="D14" s="18">
        <v>117</v>
      </c>
      <c r="E14" s="18">
        <v>122</v>
      </c>
      <c r="F14" s="18">
        <v>127</v>
      </c>
      <c r="G14" s="18">
        <v>132</v>
      </c>
      <c r="H14" s="18">
        <v>137</v>
      </c>
      <c r="I14" s="18">
        <v>157</v>
      </c>
      <c r="J14" s="18">
        <v>172</v>
      </c>
      <c r="K14" s="18">
        <v>181</v>
      </c>
      <c r="L14" s="18">
        <v>190</v>
      </c>
    </row>
    <row r="15" spans="1:13" x14ac:dyDescent="0.35">
      <c r="A15" s="9" t="s">
        <v>25</v>
      </c>
      <c r="B15" s="20">
        <v>2100</v>
      </c>
      <c r="C15" s="20">
        <v>2226</v>
      </c>
      <c r="D15" s="20">
        <v>2359.56</v>
      </c>
      <c r="E15" s="20">
        <v>2501.1336000000001</v>
      </c>
      <c r="F15" s="11">
        <v>2651.2016160000003</v>
      </c>
      <c r="G15" s="20">
        <v>2810.2737129600005</v>
      </c>
      <c r="H15" s="20">
        <v>2978.8901357376008</v>
      </c>
      <c r="I15" s="20">
        <v>3157.6235438818571</v>
      </c>
      <c r="J15" s="20">
        <v>2700</v>
      </c>
      <c r="K15" s="20">
        <v>2775</v>
      </c>
      <c r="L15" s="20">
        <v>3000</v>
      </c>
    </row>
    <row r="16" spans="1:13" x14ac:dyDescent="0.35">
      <c r="A16" s="9" t="s">
        <v>26</v>
      </c>
      <c r="B16" s="21">
        <v>1</v>
      </c>
      <c r="C16" s="21">
        <v>1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</row>
    <row r="17" spans="1:13" x14ac:dyDescent="0.35">
      <c r="A17" s="9" t="s">
        <v>27</v>
      </c>
      <c r="B17" s="23">
        <v>216825</v>
      </c>
      <c r="C17" s="23">
        <v>225729</v>
      </c>
      <c r="D17" s="23">
        <v>235167.24</v>
      </c>
      <c r="E17" s="23">
        <v>247672.908</v>
      </c>
      <c r="F17" s="23">
        <v>260928.91608</v>
      </c>
      <c r="G17" s="23">
        <v>274980.28464480001</v>
      </c>
      <c r="H17" s="23">
        <v>289874.73532348801</v>
      </c>
      <c r="I17" s="23">
        <v>353027.20620112517</v>
      </c>
      <c r="J17" s="23">
        <v>393527.20620112517</v>
      </c>
      <c r="K17" s="23">
        <v>418502.20620112517</v>
      </c>
      <c r="L17" s="23">
        <v>445502.20620112517</v>
      </c>
    </row>
    <row r="18" spans="1:13" x14ac:dyDescent="0.35">
      <c r="A18" s="9" t="s">
        <v>28</v>
      </c>
      <c r="B18" s="11">
        <v>92815</v>
      </c>
      <c r="C18" s="11">
        <v>102097</v>
      </c>
      <c r="D18" s="11">
        <v>112306</v>
      </c>
      <c r="E18" s="11">
        <v>117921.3</v>
      </c>
      <c r="F18" s="11">
        <v>123817.36500000001</v>
      </c>
      <c r="G18" s="11">
        <v>130008.23325</v>
      </c>
      <c r="H18" s="11">
        <v>136508.64491250002</v>
      </c>
      <c r="I18" s="11">
        <v>143334.07715812503</v>
      </c>
      <c r="J18" s="11">
        <v>150500.78101603128</v>
      </c>
      <c r="K18" s="11">
        <v>158025.82006683285</v>
      </c>
      <c r="L18" s="11">
        <v>165927.11107017449</v>
      </c>
    </row>
    <row r="19" spans="1:13" x14ac:dyDescent="0.35">
      <c r="A19" s="9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3" x14ac:dyDescent="0.35">
      <c r="A20" s="6" t="s">
        <v>30</v>
      </c>
      <c r="B20" s="24">
        <v>309640</v>
      </c>
      <c r="C20" s="24">
        <v>327826</v>
      </c>
      <c r="D20" s="24">
        <v>347473.24</v>
      </c>
      <c r="E20" s="24">
        <v>365594.20799999998</v>
      </c>
      <c r="F20" s="24">
        <v>384746.28107999999</v>
      </c>
      <c r="G20" s="24">
        <v>404988.5178948</v>
      </c>
      <c r="H20" s="24">
        <v>426383.38023598806</v>
      </c>
      <c r="I20" s="24">
        <v>496361.28335925017</v>
      </c>
      <c r="J20" s="24">
        <v>544027.98721715645</v>
      </c>
      <c r="K20" s="24">
        <v>576528.02626795799</v>
      </c>
      <c r="L20" s="24">
        <v>611429.31727129966</v>
      </c>
    </row>
    <row r="21" spans="1:13" x14ac:dyDescent="0.3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s="42" customFormat="1" x14ac:dyDescent="0.35">
      <c r="A22" s="39" t="s">
        <v>31</v>
      </c>
      <c r="B22" s="40">
        <v>27507</v>
      </c>
      <c r="C22" s="40">
        <v>18896</v>
      </c>
      <c r="D22" s="40">
        <v>16652.760000000009</v>
      </c>
      <c r="E22" s="40">
        <v>13096.832000000053</v>
      </c>
      <c r="F22" s="40">
        <v>9092.4005200000829</v>
      </c>
      <c r="G22" s="40">
        <v>4603.7109692000668</v>
      </c>
      <c r="H22" s="40" t="s">
        <v>66</v>
      </c>
      <c r="I22" s="40" t="s">
        <v>66</v>
      </c>
      <c r="J22" s="40" t="s">
        <v>66</v>
      </c>
      <c r="K22" s="40" t="s">
        <v>66</v>
      </c>
      <c r="L22" s="40" t="s">
        <v>66</v>
      </c>
      <c r="M22" s="41">
        <v>122521.70348920021</v>
      </c>
    </row>
    <row r="24" spans="1:13" x14ac:dyDescent="0.35">
      <c r="A24" s="25" t="s">
        <v>32</v>
      </c>
      <c r="H24" s="26" t="s">
        <v>33</v>
      </c>
      <c r="I24" s="27"/>
    </row>
    <row r="25" spans="1:13" x14ac:dyDescent="0.35">
      <c r="A25" s="9" t="s">
        <v>34</v>
      </c>
      <c r="B25" s="11"/>
      <c r="C25" s="2" t="s">
        <v>35</v>
      </c>
      <c r="H25" s="9" t="s">
        <v>36</v>
      </c>
      <c r="I25" s="9"/>
      <c r="J25" s="9"/>
      <c r="K25" s="9"/>
      <c r="L25" s="9"/>
      <c r="M25" s="9"/>
    </row>
    <row r="26" spans="1:13" x14ac:dyDescent="0.35">
      <c r="A26" s="9" t="s">
        <v>37</v>
      </c>
      <c r="B26" s="11"/>
      <c r="C26" s="2" t="s">
        <v>38</v>
      </c>
      <c r="H26" s="28" t="s">
        <v>39</v>
      </c>
      <c r="I26" s="28"/>
      <c r="J26" s="28"/>
      <c r="K26" s="28"/>
      <c r="L26" s="28"/>
      <c r="M26" s="28"/>
    </row>
    <row r="27" spans="1:13" x14ac:dyDescent="0.35">
      <c r="A27" s="9" t="s">
        <v>40</v>
      </c>
      <c r="B27" s="23">
        <f>(B25+B26)*0.1</f>
        <v>0</v>
      </c>
      <c r="C27" s="2" t="s">
        <v>41</v>
      </c>
      <c r="H27" s="28"/>
      <c r="I27" s="28"/>
      <c r="J27" s="28"/>
      <c r="K27" s="28"/>
      <c r="L27" s="28"/>
      <c r="M27" s="28"/>
    </row>
    <row r="28" spans="1:13" x14ac:dyDescent="0.35">
      <c r="A28" s="9" t="s">
        <v>42</v>
      </c>
      <c r="B28" s="11"/>
      <c r="H28" s="28" t="s">
        <v>43</v>
      </c>
      <c r="I28" s="28"/>
      <c r="J28" s="28"/>
      <c r="K28" s="28"/>
      <c r="L28" s="28"/>
      <c r="M28" s="28"/>
    </row>
    <row r="29" spans="1:13" x14ac:dyDescent="0.35">
      <c r="A29" s="9" t="s">
        <v>44</v>
      </c>
      <c r="B29" s="23">
        <f>B25*0.1*4</f>
        <v>0</v>
      </c>
      <c r="C29" s="2" t="s">
        <v>45</v>
      </c>
      <c r="H29" s="28"/>
      <c r="I29" s="28"/>
      <c r="J29" s="28"/>
      <c r="K29" s="28"/>
      <c r="L29" s="28"/>
      <c r="M29" s="28"/>
    </row>
    <row r="30" spans="1:13" x14ac:dyDescent="0.35">
      <c r="A30" s="9" t="s">
        <v>46</v>
      </c>
      <c r="B30" s="29">
        <v>0</v>
      </c>
      <c r="H30" s="30" t="s">
        <v>47</v>
      </c>
      <c r="I30" s="31"/>
      <c r="J30" s="31"/>
      <c r="K30" s="31"/>
      <c r="L30" s="31"/>
      <c r="M30" s="31"/>
    </row>
    <row r="31" spans="1:13" x14ac:dyDescent="0.35">
      <c r="A31" s="9" t="s">
        <v>48</v>
      </c>
      <c r="B31" s="32">
        <v>20</v>
      </c>
      <c r="H31" s="33" t="s">
        <v>49</v>
      </c>
      <c r="I31" s="34"/>
      <c r="J31" s="34"/>
      <c r="K31" s="34"/>
      <c r="L31" s="34"/>
      <c r="M31" s="35"/>
    </row>
    <row r="32" spans="1:13" x14ac:dyDescent="0.35">
      <c r="A32" s="9" t="s">
        <v>50</v>
      </c>
      <c r="B32" s="23">
        <f>B25+B26-B27-B28-B29</f>
        <v>0</v>
      </c>
      <c r="I32" s="36"/>
      <c r="J32" s="36"/>
      <c r="K32" s="36"/>
      <c r="L32" s="36"/>
      <c r="M32" s="36"/>
    </row>
    <row r="33" spans="1:7" x14ac:dyDescent="0.35">
      <c r="A33" s="6" t="s">
        <v>51</v>
      </c>
      <c r="B33" s="14">
        <f>(PMT(B30/12,B31*12,B32))*(-12)</f>
        <v>0</v>
      </c>
    </row>
    <row r="34" spans="1:7" x14ac:dyDescent="0.35">
      <c r="B34" s="37"/>
      <c r="G34" s="38"/>
    </row>
    <row r="35" spans="1:7" x14ac:dyDescent="0.35">
      <c r="A35" s="25" t="s">
        <v>52</v>
      </c>
      <c r="B35" s="15"/>
    </row>
    <row r="36" spans="1:7" x14ac:dyDescent="0.35">
      <c r="A36" s="9" t="s">
        <v>53</v>
      </c>
      <c r="B36" s="11"/>
      <c r="C36" s="2" t="s">
        <v>54</v>
      </c>
    </row>
    <row r="37" spans="1:7" x14ac:dyDescent="0.35">
      <c r="A37" s="9" t="s">
        <v>55</v>
      </c>
      <c r="B37" s="11"/>
      <c r="C37" s="2" t="s">
        <v>56</v>
      </c>
    </row>
    <row r="38" spans="1:7" x14ac:dyDescent="0.35">
      <c r="A38" s="9" t="s">
        <v>40</v>
      </c>
      <c r="B38" s="23">
        <f>(B36+B37)*0.1</f>
        <v>0</v>
      </c>
      <c r="C38" s="2" t="s">
        <v>57</v>
      </c>
    </row>
    <row r="39" spans="1:7" x14ac:dyDescent="0.35">
      <c r="A39" s="9" t="s">
        <v>42</v>
      </c>
      <c r="B39" s="11"/>
    </row>
    <row r="40" spans="1:7" x14ac:dyDescent="0.35">
      <c r="A40" s="9" t="s">
        <v>44</v>
      </c>
      <c r="B40" s="23">
        <f>B36*0.1*2</f>
        <v>0</v>
      </c>
      <c r="C40" s="2" t="s">
        <v>58</v>
      </c>
    </row>
    <row r="41" spans="1:7" x14ac:dyDescent="0.35">
      <c r="A41" s="9" t="s">
        <v>46</v>
      </c>
      <c r="B41" s="29">
        <v>0</v>
      </c>
    </row>
    <row r="42" spans="1:7" x14ac:dyDescent="0.35">
      <c r="A42" s="9" t="s">
        <v>48</v>
      </c>
      <c r="B42" s="32">
        <v>20</v>
      </c>
    </row>
    <row r="43" spans="1:7" x14ac:dyDescent="0.35">
      <c r="A43" s="9" t="s">
        <v>50</v>
      </c>
      <c r="B43" s="23">
        <f>B36+B37-B38-B39-B40</f>
        <v>0</v>
      </c>
    </row>
    <row r="44" spans="1:7" x14ac:dyDescent="0.35">
      <c r="A44" s="6" t="s">
        <v>51</v>
      </c>
      <c r="B44" s="14">
        <f>(PMT(B41/12,B42*12,B43))*(-12)</f>
        <v>0</v>
      </c>
    </row>
  </sheetData>
  <mergeCells count="4">
    <mergeCell ref="A1:L2"/>
    <mergeCell ref="H26:M27"/>
    <mergeCell ref="H28:M29"/>
    <mergeCell ref="H31:M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Mt. Horeb, WI</vt:lpstr>
      <vt:lpstr>Farmington, NM</vt:lpstr>
      <vt:lpstr>Firestone, CO</vt:lpstr>
      <vt:lpstr>Toronto, 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Krogmann</dc:creator>
  <cp:lastModifiedBy>Marissa Krogmann</cp:lastModifiedBy>
  <dcterms:created xsi:type="dcterms:W3CDTF">2023-12-15T14:43:47Z</dcterms:created>
  <dcterms:modified xsi:type="dcterms:W3CDTF">2023-12-15T14:53:48Z</dcterms:modified>
</cp:coreProperties>
</file>